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9312" firstSheet="9" activeTab="9"/>
  </bookViews>
  <sheets>
    <sheet name="récap" sheetId="1" r:id="rId1"/>
    <sheet name="MUCEM J4 J471" sheetId="2" r:id="rId2"/>
    <sheet name="Rénov MH Fort St Jean J472" sheetId="3" r:id="rId3"/>
    <sheet name="paysagiste J473" sheetId="4" r:id="rId4"/>
    <sheet name="2nd Oe + Access FSJ J474" sheetId="5" r:id="rId5"/>
    <sheet name="Muséo J4 J475" sheetId="6" r:id="rId6"/>
    <sheet name="Muséo Fort St Jean J476" sheetId="7" r:id="rId7"/>
    <sheet name="RECAP J" sheetId="8" r:id="rId8"/>
    <sheet name="RECAP Conv" sheetId="9" r:id="rId9"/>
    <sheet name="MuCEM J4 Trx J471" sheetId="10" r:id="rId10"/>
    <sheet name="Rénov MH Fort St Jean J 472" sheetId="11" r:id="rId11"/>
    <sheet name="FSJ Paysage J473" sheetId="12" r:id="rId12"/>
    <sheet name="Trx SO + AccesFort St Jean J474" sheetId="13" r:id="rId13"/>
    <sheet name="Muséo sur J4 J475" sheetId="14" r:id="rId14"/>
    <sheet name="Muséo Fort Saint Jean J476" sheetId="15" r:id="rId15"/>
    <sheet name="Recap Conv Eng Prév Solde" sheetId="16" r:id="rId16"/>
    <sheet name="TABLEAU SETEC" sheetId="17" r:id="rId17"/>
    <sheet name="Page garde" sheetId="18" r:id="rId18"/>
    <sheet name="AE CP" sheetId="19" r:id="rId19"/>
  </sheets>
  <definedNames>
    <definedName name="Z_27948BFD_FFC2_493D_A81E_A197D90CA22F_.wvu.PrintArea" localSheetId="16" hidden="1">'TABLEAU SETEC'!$A$2:$O$58</definedName>
    <definedName name="_xlnm.Print_Area" localSheetId="4">'2nd Oe + Access FSJ J474'!$A$1:$K$44</definedName>
    <definedName name="_xlnm.Print_Area" localSheetId="18">'AE CP'!$G$190:$K$235</definedName>
    <definedName name="_xlnm.Print_Area" localSheetId="11">'FSJ Paysage J473'!$A$1:$I$40</definedName>
    <definedName name="_xlnm.Print_Area" localSheetId="1">'MUCEM J4 J471'!$A$1:$K$186</definedName>
    <definedName name="_xlnm.Print_Area" localSheetId="9">'MuCEM J4 Trx J471'!$A$1:$N$42</definedName>
    <definedName name="_xlnm.Print_Area" localSheetId="14">'Muséo Fort Saint Jean J476'!$A$1:$N$41</definedName>
    <definedName name="_xlnm.Print_Area" localSheetId="6">'Muséo Fort St Jean J476'!$A$1:$K$51</definedName>
    <definedName name="_xlnm.Print_Area" localSheetId="5">'Muséo J4 J475'!$A$1:$K$53</definedName>
    <definedName name="_xlnm.Print_Area" localSheetId="13">'Muséo sur J4 J475'!$A$1:$N$41</definedName>
    <definedName name="_xlnm.Print_Area" localSheetId="17">'Page garde'!$A$1:$G$45</definedName>
    <definedName name="_xlnm.Print_Area" localSheetId="3">'paysagiste J473'!$A$1:$K$48</definedName>
    <definedName name="_xlnm.Print_Area" localSheetId="0">'récap'!$A$1:$L$24</definedName>
    <definedName name="_xlnm.Print_Area" localSheetId="8">'RECAP Conv'!$A$1:$W$24</definedName>
    <definedName name="_xlnm.Print_Area" localSheetId="15">'Recap Conv Eng Prév Solde'!$A$1:$N$24</definedName>
    <definedName name="_xlnm.Print_Area" localSheetId="7">'RECAP J'!$B$2:$K$23</definedName>
    <definedName name="_xlnm.Print_Area" localSheetId="10">'Rénov MH Fort St Jean J 472'!$A$1:$L$41</definedName>
    <definedName name="_xlnm.Print_Area" localSheetId="2">'Rénov MH Fort St Jean J472'!$A$1:$K$86</definedName>
    <definedName name="_xlnm.Print_Area" localSheetId="16">'TABLEAU SETEC'!$A$2:$O$58</definedName>
    <definedName name="_xlnm.Print_Area" localSheetId="12">'Trx SO + AccesFort St Jean J474'!$A$1:$M$41</definedName>
  </definedNames>
  <calcPr fullCalcOnLoad="1"/>
</workbook>
</file>

<file path=xl/comments11.xml><?xml version="1.0" encoding="utf-8"?>
<comments xmlns="http://schemas.openxmlformats.org/spreadsheetml/2006/main">
  <authors>
    <author>N.gloux</author>
  </authors>
  <commentList>
    <comment ref="G9" authorId="0">
      <text>
        <r>
          <rPr>
            <b/>
            <sz val="8"/>
            <rFont val="Tahoma"/>
            <family val="0"/>
          </rPr>
          <t>500 k€ avenant SELE
500 k€ avenant GIRARD
350 k€ Chapelle
500 k€ Escalier, finition ...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N.gloux</author>
  </authors>
  <commentList>
    <comment ref="F12" authorId="0">
      <text>
        <r>
          <rPr>
            <b/>
            <sz val="8"/>
            <rFont val="Tahoma"/>
            <family val="0"/>
          </rPr>
          <t>Inclus dans marché Moe du J4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Inclus dans marché Moe du J4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Différenciel correspondant à l'aménagement du batiment E non prévu dans la Convention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Julia HYSENJ</author>
  </authors>
  <commentList>
    <comment ref="B10" authorId="0">
      <text>
        <r>
          <rPr>
            <b/>
            <sz val="10"/>
            <rFont val="Tahoma"/>
            <family val="2"/>
          </rPr>
          <t xml:space="preserve">setec :à renseigner par le CdP - </t>
        </r>
        <r>
          <rPr>
            <sz val="10"/>
            <rFont val="Tahoma"/>
            <family val="2"/>
          </rPr>
          <t xml:space="preserve">les montants doivent-être ceux de la convention de mandat. Ils doivent-être identiques à ceux donnés dans le livret Planning
</t>
        </r>
      </text>
    </comment>
    <comment ref="C7" authorId="0">
      <text>
        <r>
          <rPr>
            <b/>
            <sz val="10"/>
            <rFont val="Tahoma"/>
            <family val="2"/>
          </rPr>
          <t xml:space="preserve">setec : à renseigner par le CdP - </t>
        </r>
        <r>
          <rPr>
            <sz val="10"/>
            <rFont val="Tahoma"/>
            <family val="2"/>
          </rPr>
          <t xml:space="preserve">Les montants sont validés par le Contrôle de Gestion OPPIC
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setec :à renseigner par le CdP - </t>
        </r>
        <r>
          <rPr>
            <sz val="10"/>
            <rFont val="Tahoma"/>
            <family val="2"/>
          </rPr>
          <t xml:space="preserve">les montants doivent-être ceux de la convention de mandat. Ils doivent-être identiques à ceux donnés dans le livret Planning
</t>
        </r>
      </text>
    </comment>
    <comment ref="A49" authorId="0">
      <text>
        <r>
          <rPr>
            <b/>
            <sz val="10"/>
            <rFont val="Tahoma"/>
            <family val="2"/>
          </rPr>
          <t>setec :</t>
        </r>
        <r>
          <rPr>
            <sz val="10"/>
            <rFont val="Tahoma"/>
            <family val="2"/>
          </rPr>
          <t xml:space="preserve">
différence (B-A+reliquat T-1)
</t>
        </r>
        <r>
          <rPr>
            <sz val="10"/>
            <color indexed="10"/>
            <rFont val="Tahoma"/>
            <family val="2"/>
          </rPr>
          <t>OPPIC : Non, (A) correspond au cumul des mandatements, le reste à verser se calcule à partir du "total en euros courants" du budget de l'opération suivant convention de mandat</t>
        </r>
      </text>
    </comment>
  </commentList>
</comments>
</file>

<file path=xl/sharedStrings.xml><?xml version="1.0" encoding="utf-8"?>
<sst xmlns="http://schemas.openxmlformats.org/spreadsheetml/2006/main" count="1141" uniqueCount="503">
  <si>
    <t>TOTAL</t>
  </si>
  <si>
    <t>Montants mandatés</t>
  </si>
  <si>
    <t>% par rapport aux engagements réels</t>
  </si>
  <si>
    <t>% par rapport aux engagements réalisés</t>
  </si>
  <si>
    <t>Titulaire</t>
  </si>
  <si>
    <t>Désignation</t>
  </si>
  <si>
    <t>RICCIOTTI</t>
  </si>
  <si>
    <t>Montants de l'engagement (1)</t>
  </si>
  <si>
    <t>AMSELLEM</t>
  </si>
  <si>
    <t>Photographe</t>
  </si>
  <si>
    <t>MAPA</t>
  </si>
  <si>
    <t xml:space="preserve">Divers </t>
  </si>
  <si>
    <t>Pub Repro</t>
  </si>
  <si>
    <t>BECS</t>
  </si>
  <si>
    <t>AOR</t>
  </si>
  <si>
    <t>APAVE</t>
  </si>
  <si>
    <t>CEC COPLAN</t>
  </si>
  <si>
    <t>AMO Loi sur l'eau</t>
  </si>
  <si>
    <t>ANTEA Sols essais</t>
  </si>
  <si>
    <t>Etudes sols Géotech</t>
  </si>
  <si>
    <t xml:space="preserve">Type marchés </t>
  </si>
  <si>
    <t>CSTB</t>
  </si>
  <si>
    <t>AMO BFUP</t>
  </si>
  <si>
    <t>Conv</t>
  </si>
  <si>
    <t>Essais prototypes BFUP</t>
  </si>
  <si>
    <t>SFICA</t>
  </si>
  <si>
    <t>AMO Lots techniques</t>
  </si>
  <si>
    <t>AMO PRO et DPGF</t>
  </si>
  <si>
    <t>Assistance ATEX</t>
  </si>
  <si>
    <t>GRAS SAVOYE</t>
  </si>
  <si>
    <t>Conseil en assurances</t>
  </si>
  <si>
    <t xml:space="preserve">SOLS ESSAIS </t>
  </si>
  <si>
    <t>Suivi géotech G4</t>
  </si>
  <si>
    <t>SETRA</t>
  </si>
  <si>
    <t>BATIR CONSEILS</t>
  </si>
  <si>
    <t>Cellule de synthèse</t>
  </si>
  <si>
    <t>Essais de pompage</t>
  </si>
  <si>
    <t>SPIE / ORTEC</t>
  </si>
  <si>
    <t>Lot n°1</t>
  </si>
  <si>
    <t>M Nég</t>
  </si>
  <si>
    <t>Cumul engagements (1 + 3)</t>
  </si>
  <si>
    <t>Enveloppe Convention  (en € courants)</t>
  </si>
  <si>
    <t>RENOVATION MH FORT SAINT JEAN</t>
  </si>
  <si>
    <t>Mnég</t>
  </si>
  <si>
    <t>MO ACMH (court est)</t>
  </si>
  <si>
    <t>SUD SUD EST ARCHI</t>
  </si>
  <si>
    <t>CRPI</t>
  </si>
  <si>
    <t>Asurances RC TRC</t>
  </si>
  <si>
    <t>MO ACMH (Et préal Chapelle)</t>
  </si>
  <si>
    <t>MO ACMH (Roi René court est)</t>
  </si>
  <si>
    <t>GIRARD/VIVIAN</t>
  </si>
  <si>
    <t>SELE</t>
  </si>
  <si>
    <t>MONTANT DES AE AFFECTEES</t>
  </si>
  <si>
    <t>MONTANTS MANDATES</t>
  </si>
  <si>
    <t>% engagements par rapport à convention</t>
  </si>
  <si>
    <t>AUXITEC/MONTEUX</t>
  </si>
  <si>
    <t>Montant des révisions engagées (3)</t>
  </si>
  <si>
    <t>MARSEILLE - MUCEM</t>
  </si>
  <si>
    <t>Envelope convention</t>
  </si>
  <si>
    <t>Solde engagements</t>
  </si>
  <si>
    <t>AE</t>
  </si>
  <si>
    <t>CP</t>
  </si>
  <si>
    <t>MONTANTS des CP DELEGUES</t>
  </si>
  <si>
    <t>% engagé par rapport aux AE affectées</t>
  </si>
  <si>
    <t>%  par rapport aux CP délégués</t>
  </si>
  <si>
    <t>DUMEZ/FREYSSINET</t>
  </si>
  <si>
    <t>VIRIOT HAUTBOUT</t>
  </si>
  <si>
    <t>SPIE SUD EST</t>
  </si>
  <si>
    <t>Engt 09196</t>
  </si>
  <si>
    <t>MO ACMH (village)</t>
  </si>
  <si>
    <t>CETEN APAVE</t>
  </si>
  <si>
    <t>Rapporteur ATEX conception</t>
  </si>
  <si>
    <t>ATEX de conception commission</t>
  </si>
  <si>
    <t>BAREAU</t>
  </si>
  <si>
    <t>Lot 1 bis</t>
  </si>
  <si>
    <t>Lot n°3b</t>
  </si>
  <si>
    <t>JOLISOL/SCPA</t>
  </si>
  <si>
    <t>OTIS</t>
  </si>
  <si>
    <t>SETEC TPI</t>
  </si>
  <si>
    <t>BONNA SABLA</t>
  </si>
  <si>
    <t>Prototype poteaux</t>
  </si>
  <si>
    <t>démontage tour d'accès</t>
  </si>
  <si>
    <t>mapa</t>
  </si>
  <si>
    <t>ANNEE ZERO</t>
  </si>
  <si>
    <t>CEC</t>
  </si>
  <si>
    <t>AMO scénographie</t>
  </si>
  <si>
    <t>Film sur le suivi du chantier</t>
  </si>
  <si>
    <t>APS</t>
  </si>
  <si>
    <t>MOE</t>
  </si>
  <si>
    <t>marché</t>
  </si>
  <si>
    <t>MUCEM J4 +  Fort St Jean</t>
  </si>
  <si>
    <t xml:space="preserve">EGIS EAU </t>
  </si>
  <si>
    <t>AMO dossier police des eaux</t>
  </si>
  <si>
    <t>RANQUES</t>
  </si>
  <si>
    <t>MO ACMH (escalier pointe mer)</t>
  </si>
  <si>
    <t>MO ACMH (Porte royale)</t>
  </si>
  <si>
    <t>contrat</t>
  </si>
  <si>
    <t>Travaux Phase 1 GIRARD</t>
  </si>
  <si>
    <t>Forage destructif passerelle</t>
  </si>
  <si>
    <t>GIRARD / DUMEZ</t>
  </si>
  <si>
    <t>MC</t>
  </si>
  <si>
    <t>MO dépose étais chapelle</t>
  </si>
  <si>
    <t>géomètre</t>
  </si>
  <si>
    <t>Ricciotti</t>
  </si>
  <si>
    <t>Charpente couverture</t>
  </si>
  <si>
    <t>S</t>
  </si>
  <si>
    <t>ZEN DCO/RECIPROQ</t>
  </si>
  <si>
    <t>Divers</t>
  </si>
  <si>
    <t>indemnité 1% artistique</t>
  </si>
  <si>
    <t>Verspieren/Zurich</t>
  </si>
  <si>
    <t>Assurance TRC</t>
  </si>
  <si>
    <t>Assurance RCMO</t>
  </si>
  <si>
    <t>GHODSY conseils</t>
  </si>
  <si>
    <t>Copramex</t>
  </si>
  <si>
    <t>sonde T° eau</t>
  </si>
  <si>
    <t>Amo passerelle n°2</t>
  </si>
  <si>
    <t>QUADRISSIMO</t>
  </si>
  <si>
    <t>Bache tour Roi René</t>
  </si>
  <si>
    <t>Mapa</t>
  </si>
  <si>
    <t>Montants des révisions mandatées</t>
  </si>
  <si>
    <t>Montants de base  mandatés</t>
  </si>
  <si>
    <t>Cumul mandatements</t>
  </si>
  <si>
    <t>SOLDE</t>
  </si>
  <si>
    <t xml:space="preserve">Base </t>
  </si>
  <si>
    <t>Révisions</t>
  </si>
  <si>
    <t>Total</t>
  </si>
  <si>
    <t>J473</t>
  </si>
  <si>
    <t>J472</t>
  </si>
  <si>
    <t>J474</t>
  </si>
  <si>
    <t>Engagements déjà réalisés (base)</t>
  </si>
  <si>
    <t>Engagements déjà réalisés (révisions)</t>
  </si>
  <si>
    <t>Engagements déjà réalisées</t>
  </si>
  <si>
    <t>dont bâtiment J4 
(J471)</t>
  </si>
  <si>
    <t>Paysagiste sur Fort
(J473)</t>
  </si>
  <si>
    <t>Restauration MH Fort St Jean
(J472)</t>
  </si>
  <si>
    <t>Montants mandatés (base)</t>
  </si>
  <si>
    <t>Montants mandatés (révisions)</t>
  </si>
  <si>
    <t>BUDGET RECAPITULATIF SELON DECOMPOSITION CONVENTION OPPIC</t>
  </si>
  <si>
    <t>en K€</t>
  </si>
  <si>
    <t>CONSTRUCTION BATIMENT RICCIOTTI SUR J4</t>
  </si>
  <si>
    <t>RENOVATION MH DU FORT SAINT JEAN</t>
  </si>
  <si>
    <t xml:space="preserve">TOTAL </t>
  </si>
  <si>
    <t>Frais induits</t>
  </si>
  <si>
    <t xml:space="preserve">Maîtrise d'œuvre </t>
  </si>
  <si>
    <t>Archéologie - Fouilles préventives - Redevance</t>
  </si>
  <si>
    <t>Etudes préliminaires ( géomètres, sols, sondages, environnement,</t>
  </si>
  <si>
    <t>acoustique, diagnostics techniques, branchements …)</t>
  </si>
  <si>
    <t>Contrôle technique</t>
  </si>
  <si>
    <t>Coordonnateur de sécurité</t>
  </si>
  <si>
    <t>Coordonnateur SSI</t>
  </si>
  <si>
    <t>Pilotage coordination</t>
  </si>
  <si>
    <t>Assistance technique et économique à la maîtrise d'ouvrage / prototypes</t>
  </si>
  <si>
    <t>Frais de reprographie, publications, communications, concours</t>
  </si>
  <si>
    <t>Assurances (TRC + Décennale )</t>
  </si>
  <si>
    <t>1% artistique</t>
  </si>
  <si>
    <t>Foncier</t>
  </si>
  <si>
    <t>Total frais induits TTC</t>
  </si>
  <si>
    <t>Total (coût travaux + frais induits) TTC</t>
  </si>
  <si>
    <t>Total général toutes dépenses confondues TDC</t>
  </si>
  <si>
    <t>TOTAL CONVENTION</t>
  </si>
  <si>
    <t>Montant des travaux TTC</t>
  </si>
  <si>
    <t>Ratio 2 500€/m² correspondant aux surfaces programmées dans l'avenant 4 à la Convention. La demande du MCEM porte sur une surface totale égale à 3 000m² soit un total égal à 7 500K€ (Hors muséographie).</t>
  </si>
  <si>
    <t>Maîtrise d'œuvre</t>
  </si>
  <si>
    <t>AMO</t>
  </si>
  <si>
    <t>Etudes préalables, repro, communication, 1% artistique …</t>
  </si>
  <si>
    <t>LANDRAGIN</t>
  </si>
  <si>
    <t>KERSALÉ</t>
  </si>
  <si>
    <t>Travaux</t>
  </si>
  <si>
    <t>Montants engagés</t>
  </si>
  <si>
    <t xml:space="preserve">Révisions </t>
  </si>
  <si>
    <t>ENGAGEMENTS REALISES</t>
  </si>
  <si>
    <t xml:space="preserve">OPERATION : MUCEM  MARSEILLE </t>
  </si>
  <si>
    <t>CONVENTION DE MANDAT D'OUVRAGE DU 8 DECEMBRE 2006</t>
  </si>
  <si>
    <t>AVENANT : 5</t>
  </si>
  <si>
    <t>MAITRE DE L'OUVRAGE : MINISTERE DE LA CULTURE ET DE LA COMMUNICATION</t>
  </si>
  <si>
    <t xml:space="preserve">                                    DIRECTION GENERALE DES PATRIMOINES</t>
  </si>
  <si>
    <t>MANDATAIRE : OPERATEUR DU PATRIMOINE ET DES PROJETS IMMOBILIERS DE LA CULTURE</t>
  </si>
  <si>
    <t>MONTANT DE L'OPERATION :</t>
  </si>
  <si>
    <t>PART  OPPIC :</t>
  </si>
  <si>
    <t>Part État</t>
  </si>
  <si>
    <t>Part CT</t>
  </si>
  <si>
    <t>(hors mandat études 6,6M€)</t>
  </si>
  <si>
    <t xml:space="preserve">MONTANT DES </t>
  </si>
  <si>
    <t>DEPENSES ENGAGEES</t>
  </si>
  <si>
    <t>MONTANT DES</t>
  </si>
  <si>
    <t>AE PREVUES</t>
  </si>
  <si>
    <t>AE DELEGUEES</t>
  </si>
  <si>
    <t>PAR LE MANDATAIRE</t>
  </si>
  <si>
    <t>AE A DEMANDER</t>
  </si>
  <si>
    <t>cumul</t>
  </si>
  <si>
    <t xml:space="preserve">MONTANT DES CP </t>
  </si>
  <si>
    <t>DEPENSES PAYEES</t>
  </si>
  <si>
    <t xml:space="preserve"> PREVUS</t>
  </si>
  <si>
    <t>VERSES</t>
  </si>
  <si>
    <t>A DEMANDER</t>
  </si>
  <si>
    <t>J47/443230251</t>
  </si>
  <si>
    <t>FORT SAINT JEAN (action 1) :</t>
  </si>
  <si>
    <t>MUCEM (action 3) :</t>
  </si>
  <si>
    <t>J4</t>
  </si>
  <si>
    <t>Muséo J4 et Fort</t>
  </si>
  <si>
    <t>Access Fort</t>
  </si>
  <si>
    <t>Aménagmt locaux Fort</t>
  </si>
  <si>
    <t>Paysagiste Fort</t>
  </si>
  <si>
    <t>AE prévues 2011</t>
  </si>
  <si>
    <t>CP prévus 2011</t>
  </si>
  <si>
    <t>AE 2012</t>
  </si>
  <si>
    <t>CP 2012</t>
  </si>
  <si>
    <t>AE 2013</t>
  </si>
  <si>
    <t>CP 2013</t>
  </si>
  <si>
    <t>Répartition par opération</t>
  </si>
  <si>
    <t xml:space="preserve">Provisions pour actualisation </t>
  </si>
  <si>
    <t>Prévisions d'engagements</t>
  </si>
  <si>
    <t>Solde</t>
  </si>
  <si>
    <t>En K€ TTC</t>
  </si>
  <si>
    <r>
      <t xml:space="preserve">Maintenance: Supports nacelle + échelle + garde corps </t>
    </r>
    <r>
      <rPr>
        <b/>
        <sz val="7"/>
        <rFont val="Verdana"/>
        <family val="2"/>
      </rPr>
      <t>200K€</t>
    </r>
  </si>
  <si>
    <r>
      <t xml:space="preserve">Aménagements bureaux des espaces paysagers </t>
    </r>
    <r>
      <rPr>
        <b/>
        <sz val="7"/>
        <rFont val="Verdana"/>
        <family val="2"/>
      </rPr>
      <t>500K€</t>
    </r>
  </si>
  <si>
    <t>Convention de mandat</t>
  </si>
  <si>
    <t>Etudes préalables, repro, communication, 1% artistique</t>
  </si>
  <si>
    <t xml:space="preserve">Aléas </t>
  </si>
  <si>
    <t>J 471</t>
  </si>
  <si>
    <t>J 475</t>
  </si>
  <si>
    <t>J 472</t>
  </si>
  <si>
    <t>J 474</t>
  </si>
  <si>
    <t>J 473</t>
  </si>
  <si>
    <t>TRAVAUX SECOND ŒUVRE FORT SAINT JEAN + ACCESSIBILITE FORT SAINT JEAN</t>
  </si>
  <si>
    <t>MUSEOGRAPHIE  J4</t>
  </si>
  <si>
    <t>J 476</t>
  </si>
  <si>
    <t>MUSEOGRAPHIE FORT SAINT JEAN</t>
  </si>
  <si>
    <r>
      <t>Pour mémoire</t>
    </r>
    <r>
      <rPr>
        <sz val="10"/>
        <rFont val="Arial"/>
        <family val="2"/>
      </rPr>
      <t xml:space="preserve"> : </t>
    </r>
    <r>
      <rPr>
        <sz val="10"/>
        <rFont val="Arial"/>
        <family val="0"/>
      </rPr>
      <t xml:space="preserve">Pour le concours de Maîtrise d'Œuvre de l'aménagement paysager du Fort, convention de 500K€ non prise en compte.
</t>
    </r>
    <r>
      <rPr>
        <b/>
        <i/>
        <u val="single"/>
        <sz val="10"/>
        <rFont val="Arial"/>
        <family val="2"/>
      </rPr>
      <t>Pour mémoire</t>
    </r>
    <r>
      <rPr>
        <sz val="10"/>
        <rFont val="Arial"/>
        <family val="0"/>
      </rPr>
      <t xml:space="preserve"> : Convention Etudes de 6,6 € non prise en compte.</t>
    </r>
  </si>
  <si>
    <t>MUCEM Construction du bâtiment J4 Ricciotti</t>
  </si>
  <si>
    <t>J741</t>
  </si>
  <si>
    <t>AMENAGEMENT PAYSAGER FORT SAINT JEAN</t>
  </si>
  <si>
    <t>TRAVAUX DE SECOND ŒUVRE + ACCESSIBILITE FORT SAINT JEAN</t>
  </si>
  <si>
    <t>MUSEOGRAPHIE BATIMENT J4</t>
  </si>
  <si>
    <t>J475</t>
  </si>
  <si>
    <t>J476</t>
  </si>
  <si>
    <t>dont muséographie bâtiment J4 (J475) et fort (J476)</t>
  </si>
  <si>
    <t xml:space="preserve">MUSEOGRAPHIE Fort Saint Jean </t>
  </si>
  <si>
    <t>(J4+FSJ)</t>
  </si>
  <si>
    <t>7600+5000</t>
  </si>
  <si>
    <t>TRAVAUX SECOND ŒUVRE + ACCESSIBILITE  FORT SAINT JEAN</t>
  </si>
  <si>
    <t>7 600 + 
5 000</t>
  </si>
  <si>
    <t>date de mise à jour</t>
  </si>
  <si>
    <t xml:space="preserve">Budget d'opération suivant mandat 
(convention ou dernier avenant) K€ TTC </t>
  </si>
  <si>
    <t>Echéancier prévisionnel des engagements et mandatements - 2ème trimestre 2011</t>
  </si>
  <si>
    <t>Coût final estimé suivant échéancier prévisionnel</t>
  </si>
  <si>
    <t>Ecart 
(CFE - budget mandat)</t>
  </si>
  <si>
    <t>MUCEM et Fort Saint Jean</t>
  </si>
  <si>
    <t>Màj Trimestrielle</t>
  </si>
  <si>
    <t>1er trimestre</t>
  </si>
  <si>
    <t>2e trimestre</t>
  </si>
  <si>
    <t>3e trimestre</t>
  </si>
  <si>
    <t>4e trimestre</t>
  </si>
  <si>
    <t>prévisions d'engagements (AE)</t>
  </si>
  <si>
    <t>Total AE</t>
  </si>
  <si>
    <t>Assistances à maîtrise d'ouvrage (1)</t>
  </si>
  <si>
    <t xml:space="preserve">Frais de maîtrise d'ouvrage (2) </t>
  </si>
  <si>
    <t>Travaux batiment et VRD y.c. tolérance Moe</t>
  </si>
  <si>
    <t>Aléas maîtrise d'ouvrage 
cis travaux</t>
  </si>
  <si>
    <t>Sous total euros constants</t>
  </si>
  <si>
    <t>Provision pour actualisations et révisions</t>
  </si>
  <si>
    <t xml:space="preserve">Total euros courants </t>
  </si>
  <si>
    <t>dont construction Bât J4 Ricciotti</t>
  </si>
  <si>
    <t>Dont muséographie J4 + Fort St Jean</t>
  </si>
  <si>
    <t>Dont rénovation MH Fort St Jean+A6</t>
  </si>
  <si>
    <t>Dont aménagement paysager Fort St Jean</t>
  </si>
  <si>
    <t>Total cumulé euros courants</t>
  </si>
  <si>
    <t>AE délégués</t>
  </si>
  <si>
    <t>Montant cumulé des AE délégués</t>
  </si>
  <si>
    <t>AE disponibles</t>
  </si>
  <si>
    <t>AE restant à déléguer</t>
  </si>
  <si>
    <t>prévisions de mandatements (CP)</t>
  </si>
  <si>
    <t>Total CP</t>
  </si>
  <si>
    <t>Aléas  maîtrise d'ouvrage</t>
  </si>
  <si>
    <t>Total euros courants</t>
  </si>
  <si>
    <t>CP versés</t>
  </si>
  <si>
    <t>Montant cumulé des CP versés</t>
  </si>
  <si>
    <t>CP disponibles</t>
  </si>
  <si>
    <t xml:space="preserve">CP restant à verser </t>
  </si>
  <si>
    <t>(1) : CSPS; CT; OPC; HQE…</t>
  </si>
  <si>
    <t>(2) :Etudes préalables;  assurances; sondages; reprographie; communication; 1% artistique…</t>
  </si>
  <si>
    <t>dont travaux second œuvre + accessibilité Fort St Jean
(J474)</t>
  </si>
  <si>
    <t>Dont travaux second œuvre et accessibilité Fort St Jean</t>
  </si>
  <si>
    <t>J471</t>
  </si>
  <si>
    <t>7600 + 5000
soit</t>
  </si>
  <si>
    <t xml:space="preserve"> FORT SAINT JEAN - AMENAGEMENT PAYSAGER</t>
  </si>
  <si>
    <t xml:space="preserve">   </t>
  </si>
  <si>
    <t>Convention de mandat (Travaux second œuvre)</t>
  </si>
  <si>
    <t>Convention de mandat (Accessibilité)</t>
  </si>
  <si>
    <t>7600 +
5000</t>
  </si>
  <si>
    <t>EVOLUTION CONVENTION ET AVENANTS</t>
  </si>
  <si>
    <t>sans incidence 
financière</t>
  </si>
  <si>
    <t>convention
12/2006</t>
  </si>
  <si>
    <t>avenant 1
12/2009</t>
  </si>
  <si>
    <t>avenant 5
06/2011</t>
  </si>
  <si>
    <t>avenant 4
12/2010</t>
  </si>
  <si>
    <t>avenant 3
12/2010</t>
  </si>
  <si>
    <t>avenant 2
12/2010</t>
  </si>
  <si>
    <r>
      <t>Pour mémoire</t>
    </r>
    <r>
      <rPr>
        <sz val="10"/>
        <rFont val="Arial"/>
        <family val="2"/>
      </rPr>
      <t xml:space="preserve"> : </t>
    </r>
    <r>
      <rPr>
        <sz val="10"/>
        <rFont val="Arial"/>
        <family val="0"/>
      </rPr>
      <t xml:space="preserve">Pour le concours de Maîtrise d'Œuvre de l'aménagement paysager du Fort, convention de 500K€ non prise en compte.
</t>
    </r>
    <r>
      <rPr>
        <b/>
        <i/>
        <u val="single"/>
        <sz val="10"/>
        <rFont val="Arial"/>
        <family val="2"/>
      </rPr>
      <t>Pour mémoire</t>
    </r>
    <r>
      <rPr>
        <sz val="10"/>
        <rFont val="Arial"/>
        <family val="0"/>
      </rPr>
      <t xml:space="preserve"> : Convention Etudes de 6,6 € non prise en compte.
</t>
    </r>
    <r>
      <rPr>
        <b/>
        <i/>
        <u val="single"/>
        <sz val="10"/>
        <rFont val="Arial"/>
        <family val="2"/>
      </rPr>
      <t>Pour mémoire</t>
    </r>
    <r>
      <rPr>
        <sz val="10"/>
        <rFont val="Arial"/>
        <family val="0"/>
      </rPr>
      <t xml:space="preserve"> : Participation collectivités territoriales à hauteur de 58 050 € (euros courants)</t>
    </r>
  </si>
  <si>
    <t>(valeur 2002 € constant)</t>
  </si>
  <si>
    <t>(€ courant)</t>
  </si>
  <si>
    <t>Pub repro</t>
  </si>
  <si>
    <t>eng11708</t>
  </si>
  <si>
    <t xml:space="preserve">Pub repro </t>
  </si>
  <si>
    <t>eng 11709</t>
  </si>
  <si>
    <t>repro pub</t>
  </si>
  <si>
    <t>eng 11682</t>
  </si>
  <si>
    <t>Repro pub</t>
  </si>
  <si>
    <t>eng 11710</t>
  </si>
  <si>
    <t>SANTELLI Notaire</t>
  </si>
  <si>
    <t>Terrain Euromed</t>
  </si>
  <si>
    <t>ERDF</t>
  </si>
  <si>
    <t>Raccordement Elec HTA</t>
  </si>
  <si>
    <t>SOLS ESSAIS</t>
  </si>
  <si>
    <t>Essais géotechniques ascenseur</t>
  </si>
  <si>
    <t xml:space="preserve">MOREL </t>
  </si>
  <si>
    <t>LOT 02 Charpente</t>
  </si>
  <si>
    <t>LOT 01 Maçonnerie</t>
  </si>
  <si>
    <t>Frais MO</t>
  </si>
  <si>
    <t>Moe</t>
  </si>
  <si>
    <t>Engagements</t>
  </si>
  <si>
    <t>Mandatements</t>
  </si>
  <si>
    <t>Musée des Civilisations de l'Europe et de la Méditerranée</t>
  </si>
  <si>
    <t>SUIVI FINANCIER</t>
  </si>
  <si>
    <t>Etat récapitulatif des engagements et mandatements</t>
  </si>
  <si>
    <t>GEOTEC</t>
  </si>
  <si>
    <t>CSPS passerelle n°2</t>
  </si>
  <si>
    <t>Ct passerelle n°2</t>
  </si>
  <si>
    <t>Indemnité lauréat 1% + Marché</t>
  </si>
  <si>
    <t>lot 01</t>
  </si>
  <si>
    <t>lot 02</t>
  </si>
  <si>
    <t>lot 04</t>
  </si>
  <si>
    <t>lot 05</t>
  </si>
  <si>
    <t>INRAP</t>
  </si>
  <si>
    <t xml:space="preserve">avenant 6
</t>
  </si>
  <si>
    <t>SETEC ORGANISATION</t>
  </si>
  <si>
    <t>Procédures et autorisations</t>
  </si>
  <si>
    <t>prev révision</t>
  </si>
  <si>
    <t>prev tt</t>
  </si>
  <si>
    <t>tt</t>
  </si>
  <si>
    <t xml:space="preserve"> </t>
  </si>
  <si>
    <t>mission géotechniques passerelle 2</t>
  </si>
  <si>
    <t>Passerelle n°2</t>
  </si>
  <si>
    <t>DIVERS</t>
  </si>
  <si>
    <t>Indemnités concours signalétique CNR</t>
  </si>
  <si>
    <t>FICHET Béatrice</t>
  </si>
  <si>
    <t>MOE Signalétique</t>
  </si>
  <si>
    <t>HORIZON CONSEIL</t>
  </si>
  <si>
    <t>Impacts circulatoires passerelle 2</t>
  </si>
  <si>
    <t>VERSPIEREN</t>
  </si>
  <si>
    <t>Acpte remboursement assurance</t>
  </si>
  <si>
    <t>SOCOTEC</t>
  </si>
  <si>
    <t>contrôle technique CC</t>
  </si>
  <si>
    <t>Reimputation interne J47</t>
  </si>
  <si>
    <t>GIRARD / DUMEZ/COMISERVICE</t>
  </si>
  <si>
    <t>URBATP/SOLS VALLEE RHONE</t>
  </si>
  <si>
    <t>SERRURERIE DE LA PARETTE</t>
  </si>
  <si>
    <t>GIRARD/DUMEZ/SANTERNE</t>
  </si>
  <si>
    <t>lot 03</t>
  </si>
  <si>
    <t>SERRURERIE MUNOZ</t>
  </si>
  <si>
    <t>JARDINS DE PROVENCE</t>
  </si>
  <si>
    <t>lot 07</t>
  </si>
  <si>
    <t>GIRARD/DUMEZ</t>
  </si>
  <si>
    <t>DUMEZ</t>
  </si>
  <si>
    <t>CONCOURS MOE</t>
  </si>
  <si>
    <t>CNR</t>
  </si>
  <si>
    <t>Grpt RISPAL</t>
  </si>
  <si>
    <t>CROSNIER Isabelle</t>
  </si>
  <si>
    <t>Finalisation PG</t>
  </si>
  <si>
    <t>SA17</t>
  </si>
  <si>
    <t>AMO MUSEO</t>
  </si>
  <si>
    <t xml:space="preserve">SOLDE ENG / MANDATEMENT </t>
  </si>
  <si>
    <t>10/04/2012 et avant</t>
  </si>
  <si>
    <t>SOCIETE EAUX MARSEILLE</t>
  </si>
  <si>
    <t>raccordement eau potable</t>
  </si>
  <si>
    <t>SERAM</t>
  </si>
  <si>
    <t>Participation raccordement egout</t>
  </si>
  <si>
    <t>BATIR</t>
  </si>
  <si>
    <t>AMO études muséo</t>
  </si>
  <si>
    <t>AMO OPC ensemble opérations</t>
  </si>
  <si>
    <t>VERSPIEREN ZURICH</t>
  </si>
  <si>
    <t>EUROSUD SWATON / AXA</t>
  </si>
  <si>
    <t>600 k€ avenant GIRARD</t>
  </si>
  <si>
    <t>Maîtrise d'œuvre (TC+avt4)</t>
  </si>
  <si>
    <t>CSPS (TC+avt2)</t>
  </si>
  <si>
    <t>Bureau de Contrôle (avt2)</t>
  </si>
  <si>
    <t>Cellule de synthèse (avt1)</t>
  </si>
  <si>
    <t>AMO PMR (avt2)</t>
  </si>
  <si>
    <t>Passerelle St Laurent (avt)</t>
  </si>
  <si>
    <t>Lot n° 2 (avt2)</t>
  </si>
  <si>
    <t>Lot n° 6 (avt1)</t>
  </si>
  <si>
    <t>Lot n° 5 (avt1)</t>
  </si>
  <si>
    <t>Lot n°4 (avt1)</t>
  </si>
  <si>
    <t>Travaux Phase 2 SELE (avt1)</t>
  </si>
  <si>
    <t>Travaux Phase 3 SELE (avt1)</t>
  </si>
  <si>
    <t>Travaux Phase 4 GIRARD (tc+dp)</t>
  </si>
  <si>
    <t>lot 01bis utilisation grue</t>
  </si>
  <si>
    <t>MOE (tc+avt1)</t>
  </si>
  <si>
    <t>prev</t>
  </si>
  <si>
    <t>Lot n°3a (avt1)</t>
  </si>
  <si>
    <t>AMG</t>
  </si>
  <si>
    <t>Audit lot 08</t>
  </si>
  <si>
    <t>SPIE</t>
  </si>
  <si>
    <t>Audit lot 09</t>
  </si>
  <si>
    <t>IEC</t>
  </si>
  <si>
    <t>Audit lot 10</t>
  </si>
  <si>
    <t>DECIPRO</t>
  </si>
  <si>
    <t>Audit lot 11</t>
  </si>
  <si>
    <t>Resto lot 5 bis</t>
  </si>
  <si>
    <t>JOLISOL</t>
  </si>
  <si>
    <t>Resto lot 3B</t>
  </si>
  <si>
    <t>Resto lot 3A</t>
  </si>
  <si>
    <t>lot 06</t>
  </si>
  <si>
    <t>MOE muséo FSJ (tc+avt1)</t>
  </si>
  <si>
    <t>Meyvaert</t>
  </si>
  <si>
    <t xml:space="preserve">Meyvaert </t>
  </si>
  <si>
    <t>audit</t>
  </si>
  <si>
    <t>resto</t>
  </si>
  <si>
    <t>EUROFONTAINES</t>
  </si>
  <si>
    <t>ECHR</t>
  </si>
  <si>
    <t>lot 03 CFO CFA</t>
  </si>
  <si>
    <t>GOPPION</t>
  </si>
  <si>
    <t>lot 01 Infra muséo</t>
  </si>
  <si>
    <t>L ATELIER</t>
  </si>
  <si>
    <t>lot 04 signalétique</t>
  </si>
  <si>
    <t>lot 02 mobiliers vitrines</t>
  </si>
  <si>
    <t>serrurerie parette</t>
  </si>
  <si>
    <t>lot 08 Multimédia</t>
  </si>
  <si>
    <t>lot 04 Amenagt extérieurs</t>
  </si>
  <si>
    <t>lot 3,2</t>
  </si>
  <si>
    <t>meyvaert</t>
  </si>
  <si>
    <t>lot 3,1</t>
  </si>
  <si>
    <t>VERSPIEREN/AXA</t>
  </si>
  <si>
    <t>assurance CCRD</t>
  </si>
  <si>
    <t>CT resto et auditorium</t>
  </si>
  <si>
    <t>sinistre divers</t>
  </si>
  <si>
    <t>Dumez / moe</t>
  </si>
  <si>
    <t>Lot 6 bis</t>
  </si>
  <si>
    <t>Equipement cuisine lot 12</t>
  </si>
  <si>
    <t>DUMEZ sinistre</t>
  </si>
  <si>
    <t>30/07 et 20/08</t>
  </si>
  <si>
    <t>TIXIT</t>
  </si>
  <si>
    <t>Barrière Ecluse</t>
  </si>
  <si>
    <t>Diag MH cavalier ville vestiges</t>
  </si>
  <si>
    <t>divers travx restauration</t>
  </si>
  <si>
    <t>Raccordement elec</t>
  </si>
  <si>
    <t>France telecom</t>
  </si>
  <si>
    <t>raccordement tel et tdc</t>
  </si>
  <si>
    <t>maçonnerie façade &amp; microflex</t>
  </si>
  <si>
    <t>AMO suivi liste</t>
  </si>
  <si>
    <t>santerne</t>
  </si>
  <si>
    <t>Marché de maîtrise d'œuvre unique /prestations indissociables du bâtiment J4 et des travaux de second œuvre et accessibilité du Fort Saint Jean
+ marché de moe pour le cloisonnement des bureaux</t>
  </si>
  <si>
    <t>Solde négatif dû en partie aux modifications de programme (restaurant, passerelle 2 …)</t>
  </si>
  <si>
    <t>Justifié en partie par l'avenant 1 qui a permis de confier la production des films à la Moe (montant déduit de l'estimation prévisionnelle des travaux)</t>
  </si>
  <si>
    <t>prototype totem inox</t>
  </si>
  <si>
    <t>AS ENSEIGNES</t>
  </si>
  <si>
    <t>lot 14 CFO CFA</t>
  </si>
  <si>
    <t>lot 13 cloisons</t>
  </si>
  <si>
    <t>EDF</t>
  </si>
  <si>
    <t>contrat Elec</t>
  </si>
  <si>
    <t>ASTRAGALE</t>
  </si>
  <si>
    <t>Location étais</t>
  </si>
  <si>
    <t>Divers maçonnerie</t>
  </si>
  <si>
    <t>raccordt réseau assainissement</t>
  </si>
  <si>
    <t>LD SONORE</t>
  </si>
  <si>
    <t>prod sonore</t>
  </si>
  <si>
    <t>Viriot hautbout</t>
  </si>
  <si>
    <t>Pascal Josse (Adess)</t>
  </si>
  <si>
    <t>lot 11</t>
  </si>
  <si>
    <t>MARIE BASTILLE</t>
  </si>
  <si>
    <t>Illustratin parcours historique</t>
  </si>
  <si>
    <t>Isabelle CROSNIER</t>
  </si>
  <si>
    <t>AMO suivi travaux muséo</t>
  </si>
  <si>
    <t>AXIANS</t>
  </si>
  <si>
    <t>Lot 16</t>
  </si>
  <si>
    <t>Consommation chantier</t>
  </si>
  <si>
    <t>OPC  + avt 1</t>
  </si>
  <si>
    <t>La Loca Compagnie</t>
  </si>
  <si>
    <t>Lot 05</t>
  </si>
  <si>
    <t>ORBE/VEROLIV/SUPAMONKS</t>
  </si>
  <si>
    <t>Montants engagés au 08/04/2013</t>
  </si>
  <si>
    <t>au 8 avril 2013</t>
  </si>
  <si>
    <t>BOSCHER</t>
  </si>
  <si>
    <t>Lot 15</t>
  </si>
  <si>
    <t>GUIGUES/ACTA VISTA</t>
  </si>
  <si>
    <t>lot 05bis</t>
  </si>
  <si>
    <t>TACTILE STUDIO</t>
  </si>
  <si>
    <t>lot 8 maquette tactile</t>
  </si>
  <si>
    <t>Malinvaud</t>
  </si>
  <si>
    <t>lot 09</t>
  </si>
  <si>
    <t>batir</t>
  </si>
  <si>
    <t>becs</t>
  </si>
  <si>
    <t>dumez</t>
  </si>
  <si>
    <t>jolisol</t>
  </si>
  <si>
    <t>echr</t>
  </si>
  <si>
    <t>divers</t>
  </si>
  <si>
    <t>eng en cours</t>
  </si>
  <si>
    <t>girard dumez</t>
  </si>
  <si>
    <t>freyssinet</t>
  </si>
  <si>
    <t>AFD</t>
  </si>
  <si>
    <t>engagement lot 01 à 08</t>
  </si>
  <si>
    <t>engagements lots 1 à 9 et 11</t>
  </si>
  <si>
    <t>ETAT RECAPITULATIF DES ENGAGEMENTS ET MANDATEMENTS AU 8/04/2013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</si>
</sst>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#,##0.00\ &quot;€&quot;"/>
    <numFmt numFmtId="174" formatCode="#,##0\ _€"/>
    <numFmt numFmtId="175" formatCode="#,##0\ &quot;€&quot;"/>
    <numFmt numFmtId="176" formatCode="#,##0.00\ _€"/>
    <numFmt numFmtId="177" formatCode="&quot; &quot;"/>
    <numFmt numFmtId="178" formatCode="#,##0.00\ [$€-1]\ \T\T\C"/>
    <numFmt numFmtId="179" formatCode="0.0000"/>
    <numFmt numFmtId="180" formatCode="0.000"/>
    <numFmt numFmtId="181" formatCode="0.0"/>
    <numFmt numFmtId="182" formatCode="0.00000"/>
    <numFmt numFmtId="183" formatCode="#,##0.0\ _€"/>
    <numFmt numFmtId="184" formatCode="0.000000"/>
    <numFmt numFmtId="185" formatCode="#,##0.0"/>
    <numFmt numFmtId="186" formatCode="0_ ;[Red]\-0\ "/>
    <numFmt numFmtId="187" formatCode="#,##0_ ;[Red]\-#,##0\ "/>
    <numFmt numFmtId="188" formatCode="[$-40C]dddd\ d\ mmmm\ yyyy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  <numFmt numFmtId="192" formatCode="#,##0.000\ &quot;€&quot;;[Red]\-#,##0.000\ &quot;€&quot;"/>
    <numFmt numFmtId="193" formatCode="#,##0.0000\ &quot;€&quot;;[Red]\-#,##0.0000\ &quot;€&quot;"/>
    <numFmt numFmtId="194" formatCode="#,##0.00000\ &quot;€&quot;;[Red]\-#,##0.00000\ &quot;€&quot;"/>
    <numFmt numFmtId="195" formatCode="_-* #,##0.000\ _€_-;\-* #,##0.000\ _€_-;_-* &quot;-&quot;??\ _€_-;_-@_-"/>
    <numFmt numFmtId="196" formatCode="_-* #,##0.0000\ _€_-;\-* #,##0.0000\ _€_-;_-* &quot;-&quot;??\ _€_-;_-@_-"/>
    <numFmt numFmtId="197" formatCode="_-* #,##0.0\ _€_-;\-* #,##0.0\ _€_-;_-* &quot;-&quot;??\ _€_-;_-@_-"/>
    <numFmt numFmtId="198" formatCode="_-* #,##0\ _€_-;\-* #,##0\ _€_-;_-* &quot;-&quot;??\ _€_-;_-@_-"/>
    <numFmt numFmtId="199" formatCode="#,##0.0_ ;[Red]\-#,##0.0\ "/>
    <numFmt numFmtId="200" formatCode="#,##0.00_ ;[Red]\-#,##0.00\ "/>
    <numFmt numFmtId="201" formatCode="#,##0.000_ ;[Red]\-#,##0.000\ "/>
    <numFmt numFmtId="202" formatCode="0.0000000"/>
    <numFmt numFmtId="203" formatCode="#,##0.000"/>
    <numFmt numFmtId="204" formatCode="#,##0.0000"/>
    <numFmt numFmtId="205" formatCode="#,##0.0000_ ;[Red]\-#,##0.0000\ "/>
    <numFmt numFmtId="206" formatCode="#,##0.00000_ ;[Red]\-#,##0.00000\ "/>
    <numFmt numFmtId="207" formatCode="#,##0.000\ _€"/>
    <numFmt numFmtId="208" formatCode="#,##0.00000"/>
    <numFmt numFmtId="209" formatCode="#,##0.000\ &quot;€&quot;"/>
    <numFmt numFmtId="210" formatCode="#,##0.0\ &quot;€&quot;"/>
    <numFmt numFmtId="211" formatCode="#,##0.0000\ &quot;€&quot;"/>
  </numFmts>
  <fonts count="6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Verdana"/>
      <family val="2"/>
    </font>
    <font>
      <b/>
      <sz val="12"/>
      <name val="Verdana"/>
      <family val="2"/>
    </font>
    <font>
      <b/>
      <i/>
      <u val="single"/>
      <sz val="10"/>
      <name val="Arial"/>
      <family val="2"/>
    </font>
    <font>
      <sz val="14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9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62"/>
      <name val="Arial"/>
      <family val="2"/>
    </font>
    <font>
      <b/>
      <sz val="12"/>
      <color indexed="56"/>
      <name val="Arial"/>
      <family val="2"/>
    </font>
    <font>
      <b/>
      <sz val="12"/>
      <color indexed="6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60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12"/>
      <name val="Verdana"/>
      <family val="2"/>
    </font>
    <font>
      <sz val="10"/>
      <color indexed="5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Verdana"/>
      <family val="2"/>
    </font>
    <font>
      <sz val="8"/>
      <color indexed="8"/>
      <name val="Arial"/>
      <family val="2"/>
    </font>
    <font>
      <sz val="10"/>
      <color indexed="10"/>
      <name val="Verdana"/>
      <family val="2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0" fillId="21" borderId="3" applyNumberFormat="0" applyFont="0" applyAlignment="0" applyProtection="0"/>
    <xf numFmtId="0" fontId="32" fillId="7" borderId="1" applyNumberFormat="0" applyAlignment="0" applyProtection="0"/>
    <xf numFmtId="0" fontId="3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2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</cellStyleXfs>
  <cellXfs count="95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173" fontId="0" fillId="0" borderId="15" xfId="0" applyNumberFormat="1" applyBorder="1" applyAlignment="1">
      <alignment/>
    </xf>
    <xf numFmtId="17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0" fillId="0" borderId="18" xfId="0" applyNumberForma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73" fontId="1" fillId="0" borderId="2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14" xfId="0" applyFont="1" applyBorder="1" applyAlignment="1">
      <alignment/>
    </xf>
    <xf numFmtId="0" fontId="0" fillId="0" borderId="0" xfId="0" applyBorder="1" applyAlignment="1">
      <alignment/>
    </xf>
    <xf numFmtId="0" fontId="2" fillId="7" borderId="1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172" fontId="0" fillId="0" borderId="21" xfId="0" applyNumberFormat="1" applyBorder="1" applyAlignment="1">
      <alignment/>
    </xf>
    <xf numFmtId="173" fontId="2" fillId="10" borderId="22" xfId="0" applyNumberFormat="1" applyFont="1" applyFill="1" applyBorder="1" applyAlignment="1">
      <alignment/>
    </xf>
    <xf numFmtId="173" fontId="2" fillId="7" borderId="10" xfId="0" applyNumberFormat="1" applyFont="1" applyFill="1" applyBorder="1" applyAlignment="1">
      <alignment/>
    </xf>
    <xf numFmtId="0" fontId="2" fillId="9" borderId="10" xfId="0" applyFont="1" applyFill="1" applyBorder="1" applyAlignment="1">
      <alignment vertical="top" wrapText="1"/>
    </xf>
    <xf numFmtId="173" fontId="2" fillId="9" borderId="10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 vertical="top" wrapText="1"/>
    </xf>
    <xf numFmtId="175" fontId="2" fillId="24" borderId="10" xfId="0" applyNumberFormat="1" applyFont="1" applyFill="1" applyBorder="1" applyAlignment="1">
      <alignment/>
    </xf>
    <xf numFmtId="175" fontId="2" fillId="0" borderId="21" xfId="0" applyNumberFormat="1" applyFont="1" applyBorder="1" applyAlignment="1">
      <alignment/>
    </xf>
    <xf numFmtId="173" fontId="2" fillId="24" borderId="22" xfId="0" applyNumberFormat="1" applyFont="1" applyFill="1" applyBorder="1" applyAlignment="1">
      <alignment/>
    </xf>
    <xf numFmtId="173" fontId="2" fillId="0" borderId="22" xfId="0" applyNumberFormat="1" applyFont="1" applyBorder="1" applyAlignment="1">
      <alignment vertical="top"/>
    </xf>
    <xf numFmtId="175" fontId="0" fillId="0" borderId="0" xfId="0" applyNumberFormat="1" applyAlignment="1">
      <alignment/>
    </xf>
    <xf numFmtId="0" fontId="0" fillId="0" borderId="23" xfId="0" applyBorder="1" applyAlignment="1">
      <alignment/>
    </xf>
    <xf numFmtId="17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3" fontId="0" fillId="0" borderId="24" xfId="0" applyNumberFormat="1" applyBorder="1" applyAlignment="1">
      <alignment/>
    </xf>
    <xf numFmtId="173" fontId="9" fillId="0" borderId="20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7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173" fontId="0" fillId="0" borderId="28" xfId="0" applyNumberFormat="1" applyBorder="1" applyAlignment="1">
      <alignment/>
    </xf>
    <xf numFmtId="173" fontId="0" fillId="0" borderId="29" xfId="0" applyNumberFormat="1" applyBorder="1" applyAlignment="1">
      <alignment/>
    </xf>
    <xf numFmtId="173" fontId="0" fillId="0" borderId="30" xfId="0" applyNumberFormat="1" applyBorder="1" applyAlignment="1">
      <alignment/>
    </xf>
    <xf numFmtId="173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173" fontId="0" fillId="0" borderId="16" xfId="0" applyNumberFormat="1" applyBorder="1" applyAlignment="1">
      <alignment/>
    </xf>
    <xf numFmtId="173" fontId="0" fillId="0" borderId="34" xfId="0" applyNumberFormat="1" applyBorder="1" applyAlignment="1">
      <alignment/>
    </xf>
    <xf numFmtId="173" fontId="0" fillId="0" borderId="35" xfId="0" applyNumberFormat="1" applyBorder="1" applyAlignment="1">
      <alignment/>
    </xf>
    <xf numFmtId="0" fontId="2" fillId="0" borderId="36" xfId="0" applyFont="1" applyBorder="1" applyAlignment="1">
      <alignment vertical="top" wrapText="1"/>
    </xf>
    <xf numFmtId="173" fontId="1" fillId="0" borderId="37" xfId="0" applyNumberFormat="1" applyFont="1" applyBorder="1" applyAlignment="1">
      <alignment/>
    </xf>
    <xf numFmtId="173" fontId="1" fillId="0" borderId="16" xfId="0" applyNumberFormat="1" applyFont="1" applyBorder="1" applyAlignment="1">
      <alignment/>
    </xf>
    <xf numFmtId="173" fontId="1" fillId="0" borderId="34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1" fillId="0" borderId="31" xfId="0" applyFon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14" xfId="0" applyNumberFormat="1" applyBorder="1" applyAlignment="1">
      <alignment/>
    </xf>
    <xf numFmtId="173" fontId="0" fillId="0" borderId="32" xfId="0" applyNumberFormat="1" applyBorder="1" applyAlignment="1">
      <alignment/>
    </xf>
    <xf numFmtId="173" fontId="0" fillId="0" borderId="38" xfId="0" applyNumberFormat="1" applyBorder="1" applyAlignment="1">
      <alignment/>
    </xf>
    <xf numFmtId="173" fontId="0" fillId="0" borderId="33" xfId="0" applyNumberFormat="1" applyBorder="1" applyAlignment="1">
      <alignment/>
    </xf>
    <xf numFmtId="173" fontId="0" fillId="0" borderId="39" xfId="0" applyNumberFormat="1" applyBorder="1" applyAlignment="1">
      <alignment/>
    </xf>
    <xf numFmtId="173" fontId="1" fillId="0" borderId="19" xfId="0" applyNumberFormat="1" applyFont="1" applyBorder="1" applyAlignment="1">
      <alignment/>
    </xf>
    <xf numFmtId="0" fontId="0" fillId="0" borderId="40" xfId="0" applyBorder="1" applyAlignment="1">
      <alignment/>
    </xf>
    <xf numFmtId="9" fontId="0" fillId="0" borderId="41" xfId="0" applyNumberFormat="1" applyBorder="1" applyAlignment="1">
      <alignment/>
    </xf>
    <xf numFmtId="9" fontId="1" fillId="0" borderId="22" xfId="0" applyNumberFormat="1" applyFont="1" applyBorder="1" applyAlignment="1">
      <alignment/>
    </xf>
    <xf numFmtId="173" fontId="0" fillId="0" borderId="16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9" fontId="0" fillId="0" borderId="43" xfId="0" applyNumberFormat="1" applyBorder="1" applyAlignment="1">
      <alignment/>
    </xf>
    <xf numFmtId="0" fontId="0" fillId="0" borderId="43" xfId="0" applyBorder="1" applyAlignment="1">
      <alignment/>
    </xf>
    <xf numFmtId="9" fontId="1" fillId="0" borderId="10" xfId="0" applyNumberFormat="1" applyFont="1" applyBorder="1" applyAlignment="1">
      <alignment/>
    </xf>
    <xf numFmtId="173" fontId="2" fillId="0" borderId="15" xfId="0" applyNumberFormat="1" applyFont="1" applyBorder="1" applyAlignment="1">
      <alignment vertical="top"/>
    </xf>
    <xf numFmtId="173" fontId="2" fillId="0" borderId="28" xfId="0" applyNumberFormat="1" applyFont="1" applyBorder="1" applyAlignment="1">
      <alignment vertical="top"/>
    </xf>
    <xf numFmtId="173" fontId="2" fillId="0" borderId="14" xfId="0" applyNumberFormat="1" applyFont="1" applyBorder="1" applyAlignment="1">
      <alignment vertical="top"/>
    </xf>
    <xf numFmtId="173" fontId="2" fillId="0" borderId="12" xfId="0" applyNumberFormat="1" applyFont="1" applyBorder="1" applyAlignment="1">
      <alignment vertical="top"/>
    </xf>
    <xf numFmtId="0" fontId="2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173" fontId="2" fillId="0" borderId="11" xfId="0" applyNumberFormat="1" applyFont="1" applyBorder="1" applyAlignment="1">
      <alignment vertical="top"/>
    </xf>
    <xf numFmtId="173" fontId="4" fillId="0" borderId="14" xfId="0" applyNumberFormat="1" applyFont="1" applyBorder="1" applyAlignment="1">
      <alignment vertical="top"/>
    </xf>
    <xf numFmtId="0" fontId="5" fillId="0" borderId="46" xfId="0" applyFont="1" applyBorder="1" applyAlignment="1">
      <alignment vertical="top" wrapText="1"/>
    </xf>
    <xf numFmtId="173" fontId="2" fillId="0" borderId="20" xfId="0" applyNumberFormat="1" applyFont="1" applyBorder="1" applyAlignment="1">
      <alignment vertical="top"/>
    </xf>
    <xf numFmtId="0" fontId="2" fillId="0" borderId="47" xfId="0" applyNumberFormat="1" applyFont="1" applyBorder="1" applyAlignment="1">
      <alignment vertical="top" wrapText="1"/>
    </xf>
    <xf numFmtId="173" fontId="2" fillId="0" borderId="19" xfId="0" applyNumberFormat="1" applyFont="1" applyBorder="1" applyAlignment="1">
      <alignment vertical="top"/>
    </xf>
    <xf numFmtId="173" fontId="2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10" fontId="2" fillId="0" borderId="0" xfId="0" applyNumberFormat="1" applyFont="1" applyFill="1" applyBorder="1" applyAlignment="1">
      <alignment vertical="top"/>
    </xf>
    <xf numFmtId="172" fontId="0" fillId="0" borderId="0" xfId="0" applyNumberFormat="1" applyBorder="1" applyAlignment="1">
      <alignment/>
    </xf>
    <xf numFmtId="173" fontId="2" fillId="0" borderId="48" xfId="0" applyNumberFormat="1" applyFont="1" applyBorder="1" applyAlignment="1">
      <alignment vertical="top"/>
    </xf>
    <xf numFmtId="10" fontId="2" fillId="0" borderId="22" xfId="0" applyNumberFormat="1" applyFont="1" applyBorder="1" applyAlignment="1">
      <alignment vertical="top"/>
    </xf>
    <xf numFmtId="0" fontId="0" fillId="0" borderId="35" xfId="0" applyBorder="1" applyAlignment="1">
      <alignment/>
    </xf>
    <xf numFmtId="173" fontId="0" fillId="0" borderId="17" xfId="0" applyNumberFormat="1" applyBorder="1" applyAlignment="1">
      <alignment/>
    </xf>
    <xf numFmtId="0" fontId="2" fillId="0" borderId="28" xfId="0" applyFont="1" applyBorder="1" applyAlignment="1">
      <alignment/>
    </xf>
    <xf numFmtId="0" fontId="0" fillId="0" borderId="30" xfId="0" applyBorder="1" applyAlignment="1">
      <alignment/>
    </xf>
    <xf numFmtId="173" fontId="0" fillId="0" borderId="49" xfId="0" applyNumberFormat="1" applyBorder="1" applyAlignment="1">
      <alignment/>
    </xf>
    <xf numFmtId="173" fontId="9" fillId="0" borderId="19" xfId="0" applyNumberFormat="1" applyFont="1" applyBorder="1" applyAlignment="1">
      <alignment/>
    </xf>
    <xf numFmtId="173" fontId="9" fillId="0" borderId="37" xfId="0" applyNumberFormat="1" applyFont="1" applyBorder="1" applyAlignment="1">
      <alignment/>
    </xf>
    <xf numFmtId="0" fontId="0" fillId="0" borderId="50" xfId="0" applyBorder="1" applyAlignment="1">
      <alignment/>
    </xf>
    <xf numFmtId="9" fontId="9" fillId="0" borderId="22" xfId="0" applyNumberFormat="1" applyFont="1" applyBorder="1" applyAlignment="1">
      <alignment/>
    </xf>
    <xf numFmtId="173" fontId="2" fillId="25" borderId="10" xfId="0" applyNumberFormat="1" applyFont="1" applyFill="1" applyBorder="1" applyAlignment="1">
      <alignment/>
    </xf>
    <xf numFmtId="10" fontId="2" fillId="20" borderId="10" xfId="53" applyNumberFormat="1" applyFont="1" applyFill="1" applyBorder="1" applyAlignment="1">
      <alignment/>
    </xf>
    <xf numFmtId="173" fontId="2" fillId="0" borderId="44" xfId="0" applyNumberFormat="1" applyFont="1" applyBorder="1" applyAlignment="1">
      <alignment vertical="top"/>
    </xf>
    <xf numFmtId="10" fontId="2" fillId="0" borderId="48" xfId="0" applyNumberFormat="1" applyFont="1" applyBorder="1" applyAlignment="1">
      <alignment vertical="top"/>
    </xf>
    <xf numFmtId="10" fontId="2" fillId="0" borderId="42" xfId="0" applyNumberFormat="1" applyFont="1" applyBorder="1" applyAlignment="1">
      <alignment vertical="top"/>
    </xf>
    <xf numFmtId="10" fontId="2" fillId="0" borderId="43" xfId="0" applyNumberFormat="1" applyFont="1" applyBorder="1" applyAlignment="1">
      <alignment vertical="top"/>
    </xf>
    <xf numFmtId="10" fontId="2" fillId="20" borderId="22" xfId="0" applyNumberFormat="1" applyFont="1" applyFill="1" applyBorder="1" applyAlignment="1">
      <alignment vertical="top"/>
    </xf>
    <xf numFmtId="3" fontId="0" fillId="0" borderId="0" xfId="0" applyNumberFormat="1" applyAlignment="1">
      <alignment/>
    </xf>
    <xf numFmtId="0" fontId="1" fillId="26" borderId="47" xfId="0" applyFont="1" applyFill="1" applyBorder="1" applyAlignment="1">
      <alignment/>
    </xf>
    <xf numFmtId="0" fontId="1" fillId="26" borderId="51" xfId="0" applyFont="1" applyFill="1" applyBorder="1" applyAlignment="1">
      <alignment/>
    </xf>
    <xf numFmtId="3" fontId="1" fillId="26" borderId="22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center"/>
    </xf>
    <xf numFmtId="0" fontId="21" fillId="0" borderId="43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172" fontId="18" fillId="0" borderId="52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0" fontId="15" fillId="0" borderId="4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20" borderId="53" xfId="0" applyFont="1" applyFill="1" applyBorder="1" applyAlignment="1">
      <alignment horizontal="center"/>
    </xf>
    <xf numFmtId="0" fontId="15" fillId="0" borderId="54" xfId="0" applyFont="1" applyBorder="1" applyAlignment="1">
      <alignment horizontal="center"/>
    </xf>
    <xf numFmtId="3" fontId="19" fillId="27" borderId="0" xfId="0" applyNumberFormat="1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/>
    </xf>
    <xf numFmtId="0" fontId="0" fillId="8" borderId="15" xfId="0" applyFont="1" applyFill="1" applyBorder="1" applyAlignment="1">
      <alignment/>
    </xf>
    <xf numFmtId="173" fontId="0" fillId="8" borderId="14" xfId="0" applyNumberFormat="1" applyFont="1" applyFill="1" applyBorder="1" applyAlignment="1">
      <alignment/>
    </xf>
    <xf numFmtId="173" fontId="0" fillId="8" borderId="15" xfId="0" applyNumberFormat="1" applyFont="1" applyFill="1" applyBorder="1" applyAlignment="1">
      <alignment/>
    </xf>
    <xf numFmtId="173" fontId="0" fillId="8" borderId="16" xfId="0" applyNumberFormat="1" applyFill="1" applyBorder="1" applyAlignment="1">
      <alignment/>
    </xf>
    <xf numFmtId="173" fontId="0" fillId="8" borderId="28" xfId="0" applyNumberFormat="1" applyFont="1" applyFill="1" applyBorder="1" applyAlignment="1">
      <alignment/>
    </xf>
    <xf numFmtId="173" fontId="0" fillId="8" borderId="16" xfId="0" applyNumberFormat="1" applyFont="1" applyFill="1" applyBorder="1" applyAlignment="1">
      <alignment/>
    </xf>
    <xf numFmtId="9" fontId="0" fillId="8" borderId="43" xfId="0" applyNumberFormat="1" applyFont="1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8" xfId="0" applyFill="1" applyBorder="1" applyAlignment="1">
      <alignment/>
    </xf>
    <xf numFmtId="173" fontId="0" fillId="8" borderId="14" xfId="0" applyNumberFormat="1" applyFill="1" applyBorder="1" applyAlignment="1">
      <alignment/>
    </xf>
    <xf numFmtId="173" fontId="0" fillId="8" borderId="15" xfId="0" applyNumberFormat="1" applyFill="1" applyBorder="1" applyAlignment="1">
      <alignment/>
    </xf>
    <xf numFmtId="173" fontId="0" fillId="8" borderId="28" xfId="0" applyNumberFormat="1" applyFill="1" applyBorder="1" applyAlignment="1">
      <alignment/>
    </xf>
    <xf numFmtId="9" fontId="0" fillId="8" borderId="43" xfId="0" applyNumberFormat="1" applyFill="1" applyBorder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8" xfId="0" applyFill="1" applyBorder="1" applyAlignment="1">
      <alignment/>
    </xf>
    <xf numFmtId="173" fontId="0" fillId="7" borderId="14" xfId="0" applyNumberFormat="1" applyFill="1" applyBorder="1" applyAlignment="1">
      <alignment/>
    </xf>
    <xf numFmtId="173" fontId="0" fillId="7" borderId="15" xfId="0" applyNumberFormat="1" applyFill="1" applyBorder="1" applyAlignment="1">
      <alignment/>
    </xf>
    <xf numFmtId="173" fontId="0" fillId="7" borderId="16" xfId="0" applyNumberFormat="1" applyFill="1" applyBorder="1" applyAlignment="1">
      <alignment/>
    </xf>
    <xf numFmtId="173" fontId="0" fillId="7" borderId="28" xfId="0" applyNumberFormat="1" applyFill="1" applyBorder="1" applyAlignment="1">
      <alignment/>
    </xf>
    <xf numFmtId="9" fontId="0" fillId="7" borderId="43" xfId="0" applyNumberFormat="1" applyFill="1" applyBorder="1" applyAlignment="1">
      <alignment/>
    </xf>
    <xf numFmtId="0" fontId="8" fillId="7" borderId="15" xfId="0" applyFont="1" applyFill="1" applyBorder="1" applyAlignment="1">
      <alignment horizontal="center"/>
    </xf>
    <xf numFmtId="0" fontId="0" fillId="22" borderId="0" xfId="0" applyFill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28" xfId="0" applyFill="1" applyBorder="1" applyAlignment="1">
      <alignment/>
    </xf>
    <xf numFmtId="173" fontId="0" fillId="22" borderId="14" xfId="0" applyNumberFormat="1" applyFill="1" applyBorder="1" applyAlignment="1">
      <alignment/>
    </xf>
    <xf numFmtId="0" fontId="8" fillId="22" borderId="15" xfId="0" applyFont="1" applyFill="1" applyBorder="1" applyAlignment="1">
      <alignment horizontal="center"/>
    </xf>
    <xf numFmtId="173" fontId="0" fillId="22" borderId="15" xfId="0" applyNumberFormat="1" applyFill="1" applyBorder="1" applyAlignment="1">
      <alignment/>
    </xf>
    <xf numFmtId="173" fontId="0" fillId="22" borderId="16" xfId="0" applyNumberFormat="1" applyFill="1" applyBorder="1" applyAlignment="1">
      <alignment/>
    </xf>
    <xf numFmtId="173" fontId="0" fillId="22" borderId="28" xfId="0" applyNumberFormat="1" applyFill="1" applyBorder="1" applyAlignment="1">
      <alignment/>
    </xf>
    <xf numFmtId="9" fontId="0" fillId="22" borderId="43" xfId="0" applyNumberForma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22" borderId="24" xfId="0" applyFill="1" applyBorder="1" applyAlignment="1">
      <alignment/>
    </xf>
    <xf numFmtId="173" fontId="0" fillId="22" borderId="33" xfId="0" applyNumberFormat="1" applyFill="1" applyBorder="1" applyAlignment="1">
      <alignment/>
    </xf>
    <xf numFmtId="173" fontId="0" fillId="22" borderId="24" xfId="0" applyNumberFormat="1" applyFill="1" applyBorder="1" applyAlignment="1">
      <alignment/>
    </xf>
    <xf numFmtId="173" fontId="0" fillId="22" borderId="30" xfId="0" applyNumberFormat="1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0" fontId="0" fillId="22" borderId="28" xfId="0" applyFill="1" applyBorder="1" applyAlignment="1">
      <alignment/>
    </xf>
    <xf numFmtId="173" fontId="0" fillId="22" borderId="14" xfId="0" applyNumberFormat="1" applyFill="1" applyBorder="1" applyAlignment="1">
      <alignment/>
    </xf>
    <xf numFmtId="173" fontId="0" fillId="22" borderId="28" xfId="0" applyNumberFormat="1" applyFill="1" applyBorder="1" applyAlignment="1">
      <alignment/>
    </xf>
    <xf numFmtId="173" fontId="0" fillId="22" borderId="16" xfId="0" applyNumberFormat="1" applyFill="1" applyBorder="1" applyAlignment="1">
      <alignment/>
    </xf>
    <xf numFmtId="0" fontId="0" fillId="22" borderId="14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8" xfId="0" applyFill="1" applyBorder="1" applyAlignment="1">
      <alignment/>
    </xf>
    <xf numFmtId="173" fontId="0" fillId="3" borderId="14" xfId="0" applyNumberForma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173" fontId="0" fillId="3" borderId="15" xfId="0" applyNumberFormat="1" applyFill="1" applyBorder="1" applyAlignment="1">
      <alignment/>
    </xf>
    <xf numFmtId="173" fontId="0" fillId="3" borderId="16" xfId="0" applyNumberFormat="1" applyFill="1" applyBorder="1" applyAlignment="1">
      <alignment/>
    </xf>
    <xf numFmtId="173" fontId="0" fillId="3" borderId="28" xfId="0" applyNumberFormat="1" applyFill="1" applyBorder="1" applyAlignment="1">
      <alignment/>
    </xf>
    <xf numFmtId="9" fontId="0" fillId="3" borderId="43" xfId="0" applyNumberForma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173" fontId="0" fillId="3" borderId="14" xfId="0" applyNumberFormat="1" applyFont="1" applyFill="1" applyBorder="1" applyAlignment="1">
      <alignment/>
    </xf>
    <xf numFmtId="173" fontId="0" fillId="3" borderId="15" xfId="0" applyNumberFormat="1" applyFont="1" applyFill="1" applyBorder="1" applyAlignment="1">
      <alignment/>
    </xf>
    <xf numFmtId="173" fontId="0" fillId="3" borderId="28" xfId="0" applyNumberFormat="1" applyFont="1" applyFill="1" applyBorder="1" applyAlignment="1">
      <alignment/>
    </xf>
    <xf numFmtId="173" fontId="0" fillId="3" borderId="55" xfId="0" applyNumberForma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3" borderId="24" xfId="0" applyFill="1" applyBorder="1" applyAlignment="1">
      <alignment/>
    </xf>
    <xf numFmtId="173" fontId="0" fillId="3" borderId="33" xfId="0" applyNumberFormat="1" applyFill="1" applyBorder="1" applyAlignment="1">
      <alignment/>
    </xf>
    <xf numFmtId="173" fontId="0" fillId="3" borderId="24" xfId="0" applyNumberFormat="1" applyFill="1" applyBorder="1" applyAlignment="1">
      <alignment/>
    </xf>
    <xf numFmtId="173" fontId="0" fillId="3" borderId="30" xfId="0" applyNumberFormat="1" applyFill="1" applyBorder="1" applyAlignment="1">
      <alignment/>
    </xf>
    <xf numFmtId="173" fontId="0" fillId="0" borderId="19" xfId="0" applyNumberFormat="1" applyBorder="1" applyAlignment="1">
      <alignment/>
    </xf>
    <xf numFmtId="173" fontId="2" fillId="0" borderId="19" xfId="0" applyNumberFormat="1" applyFont="1" applyBorder="1" applyAlignment="1">
      <alignment/>
    </xf>
    <xf numFmtId="173" fontId="0" fillId="0" borderId="37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8" borderId="14" xfId="0" applyFill="1" applyBorder="1" applyAlignment="1">
      <alignment/>
    </xf>
    <xf numFmtId="0" fontId="0" fillId="8" borderId="15" xfId="0" applyFill="1" applyBorder="1" applyAlignment="1">
      <alignment/>
    </xf>
    <xf numFmtId="0" fontId="0" fillId="8" borderId="28" xfId="0" applyFill="1" applyBorder="1" applyAlignment="1">
      <alignment/>
    </xf>
    <xf numFmtId="173" fontId="0" fillId="8" borderId="14" xfId="0" applyNumberFormat="1" applyFill="1" applyBorder="1" applyAlignment="1">
      <alignment/>
    </xf>
    <xf numFmtId="173" fontId="0" fillId="8" borderId="15" xfId="0" applyNumberFormat="1" applyFill="1" applyBorder="1" applyAlignment="1">
      <alignment/>
    </xf>
    <xf numFmtId="173" fontId="0" fillId="8" borderId="28" xfId="0" applyNumberFormat="1" applyFill="1" applyBorder="1" applyAlignment="1">
      <alignment/>
    </xf>
    <xf numFmtId="173" fontId="0" fillId="8" borderId="16" xfId="0" applyNumberFormat="1" applyFill="1" applyBorder="1" applyAlignment="1">
      <alignment/>
    </xf>
    <xf numFmtId="9" fontId="0" fillId="8" borderId="41" xfId="0" applyNumberFormat="1" applyFill="1" applyBorder="1" applyAlignment="1">
      <alignment/>
    </xf>
    <xf numFmtId="9" fontId="0" fillId="22" borderId="41" xfId="0" applyNumberFormat="1" applyFill="1" applyBorder="1" applyAlignment="1">
      <alignment/>
    </xf>
    <xf numFmtId="173" fontId="0" fillId="7" borderId="16" xfId="0" applyNumberFormat="1" applyFill="1" applyBorder="1" applyAlignment="1">
      <alignment/>
    </xf>
    <xf numFmtId="9" fontId="0" fillId="7" borderId="41" xfId="0" applyNumberFormat="1" applyFill="1" applyBorder="1" applyAlignment="1">
      <alignment/>
    </xf>
    <xf numFmtId="173" fontId="0" fillId="3" borderId="16" xfId="0" applyNumberFormat="1" applyFill="1" applyBorder="1" applyAlignment="1">
      <alignment/>
    </xf>
    <xf numFmtId="9" fontId="0" fillId="3" borderId="41" xfId="0" applyNumberFormat="1" applyFill="1" applyBorder="1" applyAlignment="1">
      <alignment/>
    </xf>
    <xf numFmtId="0" fontId="0" fillId="3" borderId="30" xfId="0" applyFill="1" applyBorder="1" applyAlignment="1">
      <alignment/>
    </xf>
    <xf numFmtId="173" fontId="0" fillId="22" borderId="15" xfId="0" applyNumberFormat="1" applyFill="1" applyBorder="1" applyAlignment="1">
      <alignment/>
    </xf>
    <xf numFmtId="9" fontId="0" fillId="0" borderId="56" xfId="0" applyNumberFormat="1" applyFill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3" fillId="0" borderId="30" xfId="0" applyFont="1" applyBorder="1" applyAlignment="1">
      <alignment horizontal="left"/>
    </xf>
    <xf numFmtId="0" fontId="22" fillId="0" borderId="57" xfId="0" applyFont="1" applyBorder="1" applyAlignment="1">
      <alignment/>
    </xf>
    <xf numFmtId="0" fontId="22" fillId="0" borderId="58" xfId="0" applyFont="1" applyBorder="1" applyAlignment="1">
      <alignment/>
    </xf>
    <xf numFmtId="0" fontId="22" fillId="0" borderId="29" xfId="0" applyFont="1" applyBorder="1" applyAlignment="1">
      <alignment horizontal="left"/>
    </xf>
    <xf numFmtId="0" fontId="22" fillId="0" borderId="59" xfId="0" applyFont="1" applyBorder="1" applyAlignment="1">
      <alignment/>
    </xf>
    <xf numFmtId="0" fontId="22" fillId="0" borderId="59" xfId="0" applyFont="1" applyBorder="1" applyAlignment="1">
      <alignment horizontal="center"/>
    </xf>
    <xf numFmtId="178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178" fontId="22" fillId="0" borderId="59" xfId="0" applyNumberFormat="1" applyFont="1" applyBorder="1" applyAlignment="1">
      <alignment horizontal="center"/>
    </xf>
    <xf numFmtId="0" fontId="22" fillId="0" borderId="60" xfId="0" applyFont="1" applyBorder="1" applyAlignment="1">
      <alignment horizontal="left"/>
    </xf>
    <xf numFmtId="0" fontId="22" fillId="0" borderId="55" xfId="0" applyFont="1" applyBorder="1" applyAlignment="1">
      <alignment/>
    </xf>
    <xf numFmtId="178" fontId="22" fillId="0" borderId="55" xfId="0" applyNumberFormat="1" applyFont="1" applyBorder="1" applyAlignment="1">
      <alignment horizontal="center"/>
    </xf>
    <xf numFmtId="0" fontId="22" fillId="0" borderId="55" xfId="0" applyFont="1" applyBorder="1" applyAlignment="1">
      <alignment horizontal="right"/>
    </xf>
    <xf numFmtId="178" fontId="22" fillId="0" borderId="61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62" xfId="0" applyFont="1" applyBorder="1" applyAlignment="1">
      <alignment horizontal="center"/>
    </xf>
    <xf numFmtId="0" fontId="22" fillId="0" borderId="63" xfId="0" applyFont="1" applyBorder="1" applyAlignment="1">
      <alignment horizontal="center"/>
    </xf>
    <xf numFmtId="0" fontId="22" fillId="0" borderId="64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1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4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4" fontId="22" fillId="0" borderId="23" xfId="0" applyNumberFormat="1" applyFont="1" applyBorder="1" applyAlignment="1">
      <alignment/>
    </xf>
    <xf numFmtId="4" fontId="22" fillId="0" borderId="23" xfId="0" applyNumberFormat="1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4" fontId="23" fillId="0" borderId="23" xfId="0" applyNumberFormat="1" applyFont="1" applyFill="1" applyBorder="1" applyAlignment="1">
      <alignment/>
    </xf>
    <xf numFmtId="4" fontId="23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22" fillId="0" borderId="66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24" xfId="0" applyFont="1" applyBorder="1" applyAlignment="1">
      <alignment/>
    </xf>
    <xf numFmtId="0" fontId="24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4" fontId="22" fillId="0" borderId="0" xfId="0" applyNumberFormat="1" applyFont="1" applyAlignment="1">
      <alignment horizontal="left"/>
    </xf>
    <xf numFmtId="0" fontId="22" fillId="0" borderId="30" xfId="0" applyFont="1" applyBorder="1" applyAlignment="1">
      <alignment horizontal="left"/>
    </xf>
    <xf numFmtId="0" fontId="23" fillId="0" borderId="29" xfId="0" applyFont="1" applyBorder="1" applyAlignment="1">
      <alignment horizontal="left"/>
    </xf>
    <xf numFmtId="4" fontId="2" fillId="0" borderId="11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0" fontId="0" fillId="0" borderId="34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4" fontId="2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8" fillId="8" borderId="52" xfId="0" applyFont="1" applyFill="1" applyBorder="1" applyAlignment="1">
      <alignment/>
    </xf>
    <xf numFmtId="0" fontId="18" fillId="22" borderId="52" xfId="0" applyFont="1" applyFill="1" applyBorder="1" applyAlignment="1">
      <alignment/>
    </xf>
    <xf numFmtId="172" fontId="18" fillId="7" borderId="52" xfId="0" applyNumberFormat="1" applyFont="1" applyFill="1" applyBorder="1" applyAlignment="1">
      <alignment/>
    </xf>
    <xf numFmtId="172" fontId="18" fillId="22" borderId="52" xfId="0" applyNumberFormat="1" applyFont="1" applyFill="1" applyBorder="1" applyAlignment="1">
      <alignment/>
    </xf>
    <xf numFmtId="49" fontId="18" fillId="0" borderId="67" xfId="0" applyNumberFormat="1" applyFont="1" applyFill="1" applyBorder="1" applyAlignment="1">
      <alignment horizontal="center"/>
    </xf>
    <xf numFmtId="0" fontId="20" fillId="3" borderId="43" xfId="0" applyFont="1" applyFill="1" applyBorder="1" applyAlignment="1">
      <alignment horizontal="center"/>
    </xf>
    <xf numFmtId="174" fontId="16" fillId="0" borderId="0" xfId="0" applyNumberFormat="1" applyFont="1" applyBorder="1" applyAlignment="1">
      <alignment/>
    </xf>
    <xf numFmtId="174" fontId="17" fillId="0" borderId="0" xfId="0" applyNumberFormat="1" applyFont="1" applyBorder="1" applyAlignment="1">
      <alignment/>
    </xf>
    <xf numFmtId="174" fontId="17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/>
    </xf>
    <xf numFmtId="174" fontId="18" fillId="0" borderId="0" xfId="0" applyNumberFormat="1" applyFont="1" applyFill="1" applyBorder="1" applyAlignment="1">
      <alignment/>
    </xf>
    <xf numFmtId="174" fontId="18" fillId="0" borderId="0" xfId="0" applyNumberFormat="1" applyFont="1" applyBorder="1" applyAlignment="1">
      <alignment horizontal="right"/>
    </xf>
    <xf numFmtId="174" fontId="18" fillId="0" borderId="0" xfId="0" applyNumberFormat="1" applyFont="1" applyFill="1" applyBorder="1" applyAlignment="1">
      <alignment horizontal="right"/>
    </xf>
    <xf numFmtId="174" fontId="15" fillId="0" borderId="21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74" fontId="17" fillId="0" borderId="0" xfId="0" applyNumberFormat="1" applyFont="1" applyFill="1" applyAlignment="1">
      <alignment/>
    </xf>
    <xf numFmtId="174" fontId="19" fillId="0" borderId="0" xfId="0" applyNumberFormat="1" applyFont="1" applyFill="1" applyBorder="1" applyAlignment="1">
      <alignment horizontal="center" vertical="top" wrapText="1"/>
    </xf>
    <xf numFmtId="174" fontId="17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 wrapText="1"/>
    </xf>
    <xf numFmtId="3" fontId="19" fillId="0" borderId="22" xfId="0" applyNumberFormat="1" applyFont="1" applyBorder="1" applyAlignment="1">
      <alignment/>
    </xf>
    <xf numFmtId="0" fontId="17" fillId="0" borderId="0" xfId="0" applyFont="1" applyFill="1" applyAlignment="1">
      <alignment/>
    </xf>
    <xf numFmtId="174" fontId="18" fillId="8" borderId="0" xfId="0" applyNumberFormat="1" applyFont="1" applyFill="1" applyAlignment="1">
      <alignment/>
    </xf>
    <xf numFmtId="174" fontId="18" fillId="0" borderId="0" xfId="0" applyNumberFormat="1" applyFont="1" applyFill="1" applyAlignment="1">
      <alignment/>
    </xf>
    <xf numFmtId="174" fontId="18" fillId="0" borderId="0" xfId="0" applyNumberFormat="1" applyFont="1" applyAlignment="1">
      <alignment/>
    </xf>
    <xf numFmtId="174" fontId="18" fillId="7" borderId="0" xfId="0" applyNumberFormat="1" applyFont="1" applyFill="1" applyAlignment="1">
      <alignment/>
    </xf>
    <xf numFmtId="174" fontId="18" fillId="22" borderId="0" xfId="0" applyNumberFormat="1" applyFont="1" applyFill="1" applyAlignment="1">
      <alignment/>
    </xf>
    <xf numFmtId="174" fontId="18" fillId="3" borderId="0" xfId="0" applyNumberFormat="1" applyFont="1" applyFill="1" applyAlignment="1">
      <alignment/>
    </xf>
    <xf numFmtId="0" fontId="17" fillId="0" borderId="0" xfId="0" applyFont="1" applyBorder="1" applyAlignment="1">
      <alignment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wrapText="1"/>
    </xf>
    <xf numFmtId="174" fontId="16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0" fillId="0" borderId="0" xfId="0" applyAlignment="1">
      <alignment/>
    </xf>
    <xf numFmtId="0" fontId="0" fillId="15" borderId="10" xfId="0" applyFill="1" applyBorder="1" applyAlignment="1">
      <alignment horizontal="center"/>
    </xf>
    <xf numFmtId="3" fontId="0" fillId="15" borderId="10" xfId="0" applyNumberForma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1" fillId="19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19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55" xfId="0" applyFont="1" applyBorder="1" applyAlignment="1" applyProtection="1">
      <alignment horizontal="center" vertical="center"/>
      <protection/>
    </xf>
    <xf numFmtId="14" fontId="44" fillId="0" borderId="55" xfId="0" applyNumberFormat="1" applyFont="1" applyBorder="1" applyAlignment="1" applyProtection="1">
      <alignment horizontal="center" vertical="center"/>
      <protection/>
    </xf>
    <xf numFmtId="0" fontId="1" fillId="27" borderId="0" xfId="0" applyFont="1" applyFill="1" applyBorder="1" applyAlignment="1" applyProtection="1">
      <alignment horizontal="center" vertical="center"/>
      <protection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68" xfId="0" applyFont="1" applyFill="1" applyBorder="1" applyAlignment="1" applyProtection="1">
      <alignment horizontal="center" vertical="center" wrapText="1"/>
      <protection/>
    </xf>
    <xf numFmtId="0" fontId="46" fillId="27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2" fillId="27" borderId="0" xfId="0" applyFont="1" applyFill="1" applyBorder="1" applyAlignment="1" applyProtection="1">
      <alignment horizontal="center" vertical="center" wrapText="1"/>
      <protection/>
    </xf>
    <xf numFmtId="0" fontId="2" fillId="27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7" fillId="27" borderId="68" xfId="0" applyFont="1" applyFill="1" applyBorder="1" applyAlignment="1" applyProtection="1">
      <alignment horizontal="center" vertical="center" wrapText="1"/>
      <protection/>
    </xf>
    <xf numFmtId="14" fontId="48" fillId="27" borderId="26" xfId="0" applyNumberFormat="1" applyFont="1" applyFill="1" applyBorder="1" applyAlignment="1" applyProtection="1">
      <alignment horizontal="center" vertical="center" wrapText="1"/>
      <protection/>
    </xf>
    <xf numFmtId="14" fontId="48" fillId="27" borderId="68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0" applyFont="1" applyFill="1" applyBorder="1" applyAlignment="1" applyProtection="1">
      <alignment horizontal="center" vertical="center" wrapText="1"/>
      <protection/>
    </xf>
    <xf numFmtId="187" fontId="9" fillId="27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9" fillId="27" borderId="43" xfId="0" applyNumberFormat="1" applyFont="1" applyFill="1" applyBorder="1" applyAlignment="1" applyProtection="1">
      <alignment horizontal="center" vertical="center"/>
      <protection/>
    </xf>
    <xf numFmtId="187" fontId="0" fillId="0" borderId="0" xfId="0" applyNumberFormat="1" applyFont="1" applyFill="1" applyAlignment="1" applyProtection="1">
      <alignment/>
      <protection/>
    </xf>
    <xf numFmtId="3" fontId="2" fillId="27" borderId="43" xfId="0" applyNumberFormat="1" applyFont="1" applyFill="1" applyBorder="1" applyAlignment="1" applyProtection="1">
      <alignment horizontal="center" vertical="center"/>
      <protection/>
    </xf>
    <xf numFmtId="1" fontId="49" fillId="27" borderId="1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/>
      <protection/>
    </xf>
    <xf numFmtId="1" fontId="0" fillId="7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187" fontId="0" fillId="0" borderId="0" xfId="0" applyNumberFormat="1" applyFont="1" applyBorder="1" applyAlignment="1" applyProtection="1">
      <alignment horizontal="left"/>
      <protection/>
    </xf>
    <xf numFmtId="0" fontId="2" fillId="27" borderId="69" xfId="0" applyFont="1" applyFill="1" applyBorder="1" applyAlignment="1" applyProtection="1">
      <alignment horizontal="left" vertical="center"/>
      <protection/>
    </xf>
    <xf numFmtId="0" fontId="50" fillId="27" borderId="70" xfId="0" applyFont="1" applyFill="1" applyBorder="1" applyAlignment="1" applyProtection="1">
      <alignment/>
      <protection/>
    </xf>
    <xf numFmtId="0" fontId="0" fillId="27" borderId="70" xfId="0" applyFont="1" applyFill="1" applyBorder="1" applyAlignment="1" applyProtection="1">
      <alignment horizontal="left"/>
      <protection/>
    </xf>
    <xf numFmtId="0" fontId="0" fillId="27" borderId="0" xfId="0" applyFont="1" applyFill="1" applyBorder="1" applyAlignment="1" applyProtection="1">
      <alignment horizontal="left"/>
      <protection/>
    </xf>
    <xf numFmtId="0" fontId="0" fillId="27" borderId="71" xfId="0" applyFont="1" applyFill="1" applyBorder="1" applyAlignment="1" applyProtection="1">
      <alignment/>
      <protection/>
    </xf>
    <xf numFmtId="0" fontId="0" fillId="27" borderId="0" xfId="0" applyFont="1" applyFill="1" applyBorder="1" applyAlignment="1" applyProtection="1">
      <alignment/>
      <protection/>
    </xf>
    <xf numFmtId="0" fontId="2" fillId="27" borderId="72" xfId="0" applyFont="1" applyFill="1" applyBorder="1" applyAlignment="1" applyProtection="1">
      <alignment horizontal="left" vertical="center"/>
      <protection/>
    </xf>
    <xf numFmtId="0" fontId="51" fillId="27" borderId="0" xfId="0" applyFont="1" applyFill="1" applyBorder="1" applyAlignment="1" applyProtection="1">
      <alignment/>
      <protection/>
    </xf>
    <xf numFmtId="0" fontId="0" fillId="27" borderId="73" xfId="0" applyFont="1" applyFill="1" applyBorder="1" applyAlignment="1" applyProtection="1">
      <alignment/>
      <protection/>
    </xf>
    <xf numFmtId="0" fontId="51" fillId="27" borderId="0" xfId="0" applyFont="1" applyFill="1" applyBorder="1" applyAlignment="1" applyProtection="1">
      <alignment horizontal="left" vertical="center" wrapText="1"/>
      <protection/>
    </xf>
    <xf numFmtId="0" fontId="51" fillId="27" borderId="73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 applyProtection="1">
      <alignment vertical="center" wrapText="1"/>
      <protection/>
    </xf>
    <xf numFmtId="0" fontId="51" fillId="0" borderId="0" xfId="0" applyFont="1" applyFill="1" applyAlignment="1" applyProtection="1">
      <alignment horizontal="left" vertical="center" wrapText="1"/>
      <protection/>
    </xf>
    <xf numFmtId="0" fontId="5" fillId="27" borderId="74" xfId="0" applyFont="1" applyFill="1" applyBorder="1" applyAlignment="1" applyProtection="1">
      <alignment horizontal="left" vertical="center"/>
      <protection/>
    </xf>
    <xf numFmtId="0" fontId="52" fillId="27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27" borderId="75" xfId="0" applyFont="1" applyFill="1" applyBorder="1" applyAlignment="1" applyProtection="1">
      <alignment horizontal="center" vertical="center" wrapText="1"/>
      <protection/>
    </xf>
    <xf numFmtId="187" fontId="49" fillId="27" borderId="15" xfId="0" applyNumberFormat="1" applyFont="1" applyFill="1" applyBorder="1" applyAlignment="1" applyProtection="1">
      <alignment horizontal="center" vertical="center"/>
      <protection/>
    </xf>
    <xf numFmtId="187" fontId="49" fillId="27" borderId="15" xfId="0" applyNumberFormat="1" applyFont="1" applyFill="1" applyBorder="1" applyAlignment="1" applyProtection="1">
      <alignment horizontal="center" vertical="center"/>
      <protection locked="0"/>
    </xf>
    <xf numFmtId="187" fontId="9" fillId="27" borderId="15" xfId="0" applyNumberFormat="1" applyFont="1" applyFill="1" applyBorder="1" applyAlignment="1" applyProtection="1">
      <alignment horizontal="center" vertical="center"/>
      <protection/>
    </xf>
    <xf numFmtId="174" fontId="16" fillId="3" borderId="10" xfId="0" applyNumberFormat="1" applyFont="1" applyFill="1" applyBorder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 horizontal="right"/>
      <protection locked="0"/>
    </xf>
    <xf numFmtId="174" fontId="17" fillId="0" borderId="0" xfId="0" applyNumberFormat="1" applyFont="1" applyAlignment="1" applyProtection="1">
      <alignment/>
      <protection locked="0"/>
    </xf>
    <xf numFmtId="3" fontId="19" fillId="27" borderId="0" xfId="0" applyNumberFormat="1" applyFont="1" applyFill="1" applyBorder="1" applyAlignment="1" applyProtection="1">
      <alignment horizontal="center"/>
      <protection locked="0"/>
    </xf>
    <xf numFmtId="174" fontId="20" fillId="0" borderId="0" xfId="0" applyNumberFormat="1" applyFont="1" applyBorder="1" applyAlignment="1" applyProtection="1">
      <alignment horizontal="right"/>
      <protection locked="0"/>
    </xf>
    <xf numFmtId="174" fontId="19" fillId="0" borderId="0" xfId="0" applyNumberFormat="1" applyFont="1" applyFill="1" applyBorder="1" applyAlignment="1" applyProtection="1">
      <alignment horizontal="center"/>
      <protection locked="0"/>
    </xf>
    <xf numFmtId="0" fontId="19" fillId="27" borderId="0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174" fontId="20" fillId="0" borderId="0" xfId="0" applyNumberFormat="1" applyFont="1" applyBorder="1" applyAlignment="1" applyProtection="1">
      <alignment horizontal="center"/>
      <protection locked="0"/>
    </xf>
    <xf numFmtId="174" fontId="18" fillId="0" borderId="0" xfId="0" applyNumberFormat="1" applyFont="1" applyFill="1" applyBorder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 horizontal="center"/>
      <protection locked="0"/>
    </xf>
    <xf numFmtId="3" fontId="15" fillId="0" borderId="0" xfId="0" applyNumberFormat="1" applyFont="1" applyBorder="1" applyAlignment="1" applyProtection="1">
      <alignment/>
      <protection locked="0"/>
    </xf>
    <xf numFmtId="174" fontId="20" fillId="8" borderId="42" xfId="0" applyNumberFormat="1" applyFont="1" applyFill="1" applyBorder="1" applyAlignment="1" applyProtection="1">
      <alignment horizontal="center"/>
      <protection locked="0"/>
    </xf>
    <xf numFmtId="174" fontId="18" fillId="0" borderId="0" xfId="0" applyNumberFormat="1" applyFont="1" applyBorder="1" applyAlignment="1" applyProtection="1">
      <alignment/>
      <protection locked="0"/>
    </xf>
    <xf numFmtId="3" fontId="15" fillId="27" borderId="0" xfId="0" applyNumberFormat="1" applyFont="1" applyFill="1" applyBorder="1" applyAlignment="1" applyProtection="1">
      <alignment horizontal="center"/>
      <protection locked="0"/>
    </xf>
    <xf numFmtId="174" fontId="20" fillId="0" borderId="53" xfId="0" applyNumberFormat="1" applyFont="1" applyBorder="1" applyAlignment="1" applyProtection="1">
      <alignment horizontal="center"/>
      <protection locked="0"/>
    </xf>
    <xf numFmtId="174" fontId="20" fillId="0" borderId="53" xfId="0" applyNumberFormat="1" applyFont="1" applyFill="1" applyBorder="1" applyAlignment="1" applyProtection="1">
      <alignment horizontal="center"/>
      <protection locked="0"/>
    </xf>
    <xf numFmtId="174" fontId="16" fillId="0" borderId="10" xfId="0" applyNumberFormat="1" applyFont="1" applyBorder="1" applyAlignment="1" applyProtection="1">
      <alignment horizontal="center"/>
      <protection locked="0"/>
    </xf>
    <xf numFmtId="174" fontId="15" fillId="0" borderId="0" xfId="0" applyNumberFormat="1" applyFont="1" applyBorder="1" applyAlignment="1" applyProtection="1">
      <alignment horizontal="center"/>
      <protection locked="0"/>
    </xf>
    <xf numFmtId="174" fontId="16" fillId="0" borderId="10" xfId="0" applyNumberFormat="1" applyFont="1" applyFill="1" applyBorder="1" applyAlignment="1" applyProtection="1">
      <alignment horizontal="center"/>
      <protection locked="0"/>
    </xf>
    <xf numFmtId="174" fontId="16" fillId="0" borderId="0" xfId="0" applyNumberFormat="1" applyFont="1" applyBorder="1" applyAlignment="1" applyProtection="1">
      <alignment horizontal="center"/>
      <protection locked="0"/>
    </xf>
    <xf numFmtId="174" fontId="16" fillId="0" borderId="2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/>
      <protection locked="0"/>
    </xf>
    <xf numFmtId="174" fontId="16" fillId="0" borderId="76" xfId="0" applyNumberFormat="1" applyFont="1" applyBorder="1" applyAlignment="1" applyProtection="1">
      <alignment horizontal="center"/>
      <protection locked="0"/>
    </xf>
    <xf numFmtId="174" fontId="16" fillId="0" borderId="76" xfId="0" applyNumberFormat="1" applyFont="1" applyFill="1" applyBorder="1" applyAlignment="1" applyProtection="1">
      <alignment horizontal="center"/>
      <protection locked="0"/>
    </xf>
    <xf numFmtId="174" fontId="16" fillId="0" borderId="37" xfId="0" applyNumberFormat="1" applyFont="1" applyBorder="1" applyAlignment="1" applyProtection="1">
      <alignment horizontal="center"/>
      <protection locked="0"/>
    </xf>
    <xf numFmtId="174" fontId="16" fillId="0" borderId="37" xfId="0" applyNumberFormat="1" applyFont="1" applyFill="1" applyBorder="1" applyAlignment="1" applyProtection="1">
      <alignment horizontal="center"/>
      <protection locked="0"/>
    </xf>
    <xf numFmtId="174" fontId="16" fillId="20" borderId="77" xfId="0" applyNumberFormat="1" applyFont="1" applyFill="1" applyBorder="1" applyAlignment="1" applyProtection="1">
      <alignment horizontal="center"/>
      <protection locked="0"/>
    </xf>
    <xf numFmtId="174" fontId="15" fillId="0" borderId="54" xfId="0" applyNumberFormat="1" applyFont="1" applyBorder="1" applyAlignment="1" applyProtection="1">
      <alignment horizontal="center"/>
      <protection locked="0"/>
    </xf>
    <xf numFmtId="3" fontId="16" fillId="27" borderId="0" xfId="0" applyNumberFormat="1" applyFont="1" applyFill="1" applyBorder="1" applyAlignment="1" applyProtection="1">
      <alignment horizontal="center"/>
      <protection locked="0"/>
    </xf>
    <xf numFmtId="174" fontId="16" fillId="20" borderId="37" xfId="0" applyNumberFormat="1" applyFont="1" applyFill="1" applyBorder="1" applyAlignment="1" applyProtection="1">
      <alignment horizontal="center"/>
      <protection locked="0"/>
    </xf>
    <xf numFmtId="174" fontId="20" fillId="0" borderId="43" xfId="0" applyNumberFormat="1" applyFont="1" applyBorder="1" applyAlignment="1" applyProtection="1">
      <alignment horizontal="center"/>
      <protection locked="0"/>
    </xf>
    <xf numFmtId="174" fontId="16" fillId="3" borderId="37" xfId="0" applyNumberFormat="1" applyFont="1" applyFill="1" applyBorder="1" applyAlignment="1" applyProtection="1">
      <alignment horizontal="center"/>
      <protection locked="0"/>
    </xf>
    <xf numFmtId="174" fontId="20" fillId="8" borderId="13" xfId="0" applyNumberFormat="1" applyFont="1" applyFill="1" applyBorder="1" applyAlignment="1" applyProtection="1">
      <alignment horizontal="center"/>
      <protection locked="0"/>
    </xf>
    <xf numFmtId="174" fontId="20" fillId="0" borderId="16" xfId="0" applyNumberFormat="1" applyFont="1" applyBorder="1" applyAlignment="1" applyProtection="1">
      <alignment horizontal="center"/>
      <protection locked="0"/>
    </xf>
    <xf numFmtId="174" fontId="20" fillId="0" borderId="24" xfId="0" applyNumberFormat="1" applyFont="1" applyFill="1" applyBorder="1" applyAlignment="1" applyProtection="1">
      <alignment horizontal="center"/>
      <protection locked="0"/>
    </xf>
    <xf numFmtId="174" fontId="20" fillId="0" borderId="24" xfId="0" applyNumberFormat="1" applyFont="1" applyBorder="1" applyAlignment="1" applyProtection="1">
      <alignment horizontal="center"/>
      <protection locked="0"/>
    </xf>
    <xf numFmtId="174" fontId="16" fillId="0" borderId="77" xfId="0" applyNumberFormat="1" applyFont="1" applyBorder="1" applyAlignment="1" applyProtection="1">
      <alignment horizontal="center"/>
      <protection locked="0"/>
    </xf>
    <xf numFmtId="174" fontId="16" fillId="0" borderId="77" xfId="0" applyNumberFormat="1" applyFont="1" applyFill="1" applyBorder="1" applyAlignment="1" applyProtection="1">
      <alignment horizontal="center"/>
      <protection locked="0"/>
    </xf>
    <xf numFmtId="174" fontId="20" fillId="0" borderId="15" xfId="0" applyNumberFormat="1" applyFont="1" applyFill="1" applyBorder="1" applyAlignment="1" applyProtection="1">
      <alignment horizontal="center"/>
      <protection locked="0"/>
    </xf>
    <xf numFmtId="174" fontId="20" fillId="0" borderId="15" xfId="0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1" fontId="49" fillId="27" borderId="15" xfId="0" applyNumberFormat="1" applyFont="1" applyFill="1" applyBorder="1" applyAlignment="1" applyProtection="1">
      <alignment horizontal="center" vertical="center"/>
      <protection/>
    </xf>
    <xf numFmtId="3" fontId="49" fillId="27" borderId="15" xfId="0" applyNumberFormat="1" applyFont="1" applyFill="1" applyBorder="1" applyAlignment="1" applyProtection="1">
      <alignment horizontal="center" vertical="center"/>
      <protection/>
    </xf>
    <xf numFmtId="0" fontId="49" fillId="27" borderId="15" xfId="0" applyFont="1" applyFill="1" applyBorder="1" applyAlignment="1" applyProtection="1">
      <alignment horizontal="center" vertical="center"/>
      <protection/>
    </xf>
    <xf numFmtId="1" fontId="9" fillId="27" borderId="15" xfId="0" applyNumberFormat="1" applyFont="1" applyFill="1" applyBorder="1" applyAlignment="1" applyProtection="1">
      <alignment horizontal="center" vertical="center"/>
      <protection/>
    </xf>
    <xf numFmtId="187" fontId="9" fillId="20" borderId="15" xfId="0" applyNumberFormat="1" applyFont="1" applyFill="1" applyBorder="1" applyAlignment="1" applyProtection="1">
      <alignment horizontal="center" vertical="center"/>
      <protection/>
    </xf>
    <xf numFmtId="0" fontId="9" fillId="27" borderId="15" xfId="0" applyFont="1" applyFill="1" applyBorder="1" applyAlignment="1" applyProtection="1">
      <alignment horizontal="center" vertical="center"/>
      <protection/>
    </xf>
    <xf numFmtId="187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27" borderId="15" xfId="0" applyFont="1" applyFill="1" applyBorder="1" applyAlignment="1" applyProtection="1">
      <alignment horizontal="center" vertical="center"/>
      <protection/>
    </xf>
    <xf numFmtId="3" fontId="0" fillId="27" borderId="15" xfId="0" applyNumberFormat="1" applyFont="1" applyFill="1" applyBorder="1" applyAlignment="1" applyProtection="1">
      <alignment horizontal="center" vertical="center"/>
      <protection/>
    </xf>
    <xf numFmtId="3" fontId="0" fillId="7" borderId="15" xfId="0" applyNumberFormat="1" applyFont="1" applyFill="1" applyBorder="1" applyAlignment="1" applyProtection="1">
      <alignment horizontal="center" vertical="center"/>
      <protection/>
    </xf>
    <xf numFmtId="0" fontId="0" fillId="7" borderId="15" xfId="0" applyFont="1" applyFill="1" applyBorder="1" applyAlignment="1" applyProtection="1">
      <alignment horizontal="center" vertical="center"/>
      <protection/>
    </xf>
    <xf numFmtId="1" fontId="49" fillId="27" borderId="15" xfId="0" applyNumberFormat="1" applyFont="1" applyFill="1" applyBorder="1" applyAlignment="1" applyProtection="1">
      <alignment horizontal="center" vertical="center"/>
      <protection locked="0"/>
    </xf>
    <xf numFmtId="3" fontId="49" fillId="27" borderId="15" xfId="0" applyNumberFormat="1" applyFont="1" applyFill="1" applyBorder="1" applyAlignment="1" applyProtection="1">
      <alignment horizontal="center" vertical="center"/>
      <protection locked="0"/>
    </xf>
    <xf numFmtId="187" fontId="9" fillId="27" borderId="15" xfId="49" applyNumberFormat="1" applyFont="1" applyFill="1" applyBorder="1" applyAlignment="1" applyProtection="1">
      <alignment horizontal="center" vertical="center"/>
      <protection/>
    </xf>
    <xf numFmtId="3" fontId="9" fillId="27" borderId="15" xfId="0" applyNumberFormat="1" applyFont="1" applyFill="1" applyBorder="1" applyAlignment="1" applyProtection="1">
      <alignment horizontal="center" vertical="center"/>
      <protection/>
    </xf>
    <xf numFmtId="1" fontId="0" fillId="7" borderId="15" xfId="0" applyNumberFormat="1" applyFont="1" applyFill="1" applyBorder="1" applyAlignment="1" applyProtection="1">
      <alignment horizontal="center" vertical="center"/>
      <protection/>
    </xf>
    <xf numFmtId="187" fontId="49" fillId="20" borderId="11" xfId="0" applyNumberFormat="1" applyFont="1" applyFill="1" applyBorder="1" applyAlignment="1" applyProtection="1">
      <alignment horizontal="center" vertical="center"/>
      <protection/>
    </xf>
    <xf numFmtId="187" fontId="49" fillId="27" borderId="12" xfId="0" applyNumberFormat="1" applyFont="1" applyFill="1" applyBorder="1" applyAlignment="1" applyProtection="1">
      <alignment horizontal="center" vertical="center"/>
      <protection/>
    </xf>
    <xf numFmtId="3" fontId="49" fillId="27" borderId="12" xfId="0" applyNumberFormat="1" applyFont="1" applyFill="1" applyBorder="1" applyAlignment="1" applyProtection="1">
      <alignment horizontal="center" vertical="center"/>
      <protection/>
    </xf>
    <xf numFmtId="187" fontId="49" fillId="20" borderId="14" xfId="0" applyNumberFormat="1" applyFont="1" applyFill="1" applyBorder="1" applyAlignment="1" applyProtection="1">
      <alignment horizontal="center" vertical="center"/>
      <protection locked="0"/>
    </xf>
    <xf numFmtId="187" fontId="49" fillId="20" borderId="14" xfId="0" applyNumberFormat="1" applyFont="1" applyFill="1" applyBorder="1" applyAlignment="1" applyProtection="1">
      <alignment horizontal="center" vertical="center"/>
      <protection/>
    </xf>
    <xf numFmtId="187" fontId="9" fillId="20" borderId="14" xfId="49" applyNumberFormat="1" applyFont="1" applyFill="1" applyBorder="1" applyAlignment="1" applyProtection="1">
      <alignment horizontal="center" vertical="center"/>
      <protection/>
    </xf>
    <xf numFmtId="187" fontId="9" fillId="20" borderId="14" xfId="0" applyNumberFormat="1" applyFont="1" applyFill="1" applyBorder="1" applyAlignment="1" applyProtection="1">
      <alignment horizontal="center" vertical="center"/>
      <protection/>
    </xf>
    <xf numFmtId="1" fontId="9" fillId="27" borderId="16" xfId="0" applyNumberFormat="1" applyFont="1" applyFill="1" applyBorder="1" applyAlignment="1" applyProtection="1">
      <alignment horizontal="center" vertical="center"/>
      <protection/>
    </xf>
    <xf numFmtId="187" fontId="0" fillId="7" borderId="14" xfId="0" applyNumberFormat="1" applyFont="1" applyFill="1" applyBorder="1" applyAlignment="1" applyProtection="1">
      <alignment horizontal="center" vertical="center"/>
      <protection/>
    </xf>
    <xf numFmtId="187" fontId="9" fillId="20" borderId="17" xfId="0" applyNumberFormat="1" applyFont="1" applyFill="1" applyBorder="1" applyAlignment="1" applyProtection="1">
      <alignment horizontal="center" vertical="center"/>
      <protection/>
    </xf>
    <xf numFmtId="187" fontId="9" fillId="20" borderId="18" xfId="0" applyNumberFormat="1" applyFont="1" applyFill="1" applyBorder="1" applyAlignment="1" applyProtection="1">
      <alignment horizontal="center" vertical="center"/>
      <protection/>
    </xf>
    <xf numFmtId="187" fontId="49" fillId="20" borderId="14" xfId="49" applyNumberFormat="1" applyFont="1" applyFill="1" applyBorder="1" applyAlignment="1" applyProtection="1">
      <alignment horizontal="center" vertical="center"/>
      <protection/>
    </xf>
    <xf numFmtId="187" fontId="49" fillId="20" borderId="78" xfId="0" applyNumberFormat="1" applyFont="1" applyFill="1" applyBorder="1" applyAlignment="1" applyProtection="1">
      <alignment horizontal="center" vertical="center"/>
      <protection/>
    </xf>
    <xf numFmtId="187" fontId="49" fillId="20" borderId="25" xfId="0" applyNumberFormat="1" applyFont="1" applyFill="1" applyBorder="1" applyAlignment="1" applyProtection="1">
      <alignment horizontal="center" vertical="center"/>
      <protection/>
    </xf>
    <xf numFmtId="187" fontId="9" fillId="20" borderId="25" xfId="49" applyNumberFormat="1" applyFont="1" applyFill="1" applyBorder="1" applyAlignment="1" applyProtection="1">
      <alignment horizontal="center" vertical="center"/>
      <protection/>
    </xf>
    <xf numFmtId="187" fontId="49" fillId="20" borderId="25" xfId="49" applyNumberFormat="1" applyFont="1" applyFill="1" applyBorder="1" applyAlignment="1" applyProtection="1">
      <alignment horizontal="center" vertical="center"/>
      <protection/>
    </xf>
    <xf numFmtId="187" fontId="9" fillId="20" borderId="25" xfId="0" applyNumberFormat="1" applyFont="1" applyFill="1" applyBorder="1" applyAlignment="1" applyProtection="1">
      <alignment horizontal="center" vertical="center"/>
      <protection/>
    </xf>
    <xf numFmtId="187" fontId="0" fillId="7" borderId="25" xfId="0" applyNumberFormat="1" applyFont="1" applyFill="1" applyBorder="1" applyAlignment="1" applyProtection="1">
      <alignment horizontal="center" vertical="center"/>
      <protection/>
    </xf>
    <xf numFmtId="187" fontId="9" fillId="20" borderId="79" xfId="0" applyNumberFormat="1" applyFont="1" applyFill="1" applyBorder="1" applyAlignment="1" applyProtection="1">
      <alignment horizontal="center" vertical="center"/>
      <protection/>
    </xf>
    <xf numFmtId="187" fontId="49" fillId="27" borderId="40" xfId="0" applyNumberFormat="1" applyFont="1" applyFill="1" applyBorder="1" applyAlignment="1" applyProtection="1">
      <alignment horizontal="center" vertical="center"/>
      <protection/>
    </xf>
    <xf numFmtId="187" fontId="49" fillId="27" borderId="41" xfId="0" applyNumberFormat="1" applyFont="1" applyFill="1" applyBorder="1" applyAlignment="1" applyProtection="1">
      <alignment horizontal="center" vertical="center"/>
      <protection locked="0"/>
    </xf>
    <xf numFmtId="187" fontId="49" fillId="27" borderId="41" xfId="0" applyNumberFormat="1" applyFont="1" applyFill="1" applyBorder="1" applyAlignment="1" applyProtection="1">
      <alignment horizontal="center" vertical="center"/>
      <protection/>
    </xf>
    <xf numFmtId="187" fontId="9" fillId="27" borderId="41" xfId="0" applyNumberFormat="1" applyFont="1" applyFill="1" applyBorder="1" applyAlignment="1" applyProtection="1">
      <alignment horizontal="center" vertical="center"/>
      <protection/>
    </xf>
    <xf numFmtId="187" fontId="0" fillId="7" borderId="41" xfId="0" applyNumberFormat="1" applyFont="1" applyFill="1" applyBorder="1" applyAlignment="1" applyProtection="1">
      <alignment horizontal="center" vertical="center"/>
      <protection/>
    </xf>
    <xf numFmtId="187" fontId="0" fillId="7" borderId="80" xfId="0" applyNumberFormat="1" applyFont="1" applyFill="1" applyBorder="1" applyAlignment="1" applyProtection="1">
      <alignment horizontal="center" vertical="center"/>
      <protection/>
    </xf>
    <xf numFmtId="187" fontId="9" fillId="27" borderId="80" xfId="0" applyNumberFormat="1" applyFont="1" applyFill="1" applyBorder="1" applyAlignment="1" applyProtection="1">
      <alignment horizontal="center" vertical="center"/>
      <protection/>
    </xf>
    <xf numFmtId="187" fontId="49" fillId="0" borderId="41" xfId="0" applyNumberFormat="1" applyFont="1" applyFill="1" applyBorder="1" applyAlignment="1" applyProtection="1">
      <alignment horizontal="center" vertical="center"/>
      <protection/>
    </xf>
    <xf numFmtId="187" fontId="49" fillId="0" borderId="50" xfId="0" applyNumberFormat="1" applyFont="1" applyFill="1" applyBorder="1" applyAlignment="1" applyProtection="1">
      <alignment horizontal="center" vertical="center"/>
      <protection/>
    </xf>
    <xf numFmtId="0" fontId="0" fillId="8" borderId="42" xfId="0" applyFont="1" applyFill="1" applyBorder="1" applyAlignment="1" applyProtection="1">
      <alignment horizontal="center" vertical="center" wrapText="1"/>
      <protection/>
    </xf>
    <xf numFmtId="0" fontId="0" fillId="7" borderId="43" xfId="0" applyFont="1" applyFill="1" applyBorder="1" applyAlignment="1" applyProtection="1">
      <alignment horizontal="center" vertical="center" wrapText="1"/>
      <protection locked="0"/>
    </xf>
    <xf numFmtId="0" fontId="0" fillId="22" borderId="43" xfId="0" applyFont="1" applyFill="1" applyBorder="1" applyAlignment="1" applyProtection="1">
      <alignment horizontal="center" vertical="center" wrapText="1"/>
      <protection/>
    </xf>
    <xf numFmtId="0" fontId="0" fillId="3" borderId="43" xfId="0" applyFont="1" applyFill="1" applyBorder="1" applyAlignment="1" applyProtection="1">
      <alignment horizontal="center" vertical="center" wrapText="1"/>
      <protection/>
    </xf>
    <xf numFmtId="0" fontId="0" fillId="27" borderId="43" xfId="0" applyFont="1" applyFill="1" applyBorder="1" applyAlignment="1" applyProtection="1">
      <alignment horizontal="center" vertical="center" wrapText="1"/>
      <protection/>
    </xf>
    <xf numFmtId="0" fontId="2" fillId="27" borderId="43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/>
      <protection/>
    </xf>
    <xf numFmtId="0" fontId="47" fillId="7" borderId="43" xfId="0" applyFont="1" applyFill="1" applyBorder="1" applyAlignment="1" applyProtection="1">
      <alignment horizontal="left" vertical="center"/>
      <protection/>
    </xf>
    <xf numFmtId="0" fontId="47" fillId="7" borderId="43" xfId="0" applyFont="1" applyFill="1" applyBorder="1" applyAlignment="1" applyProtection="1">
      <alignment horizontal="left" vertical="center" wrapText="1"/>
      <protection/>
    </xf>
    <xf numFmtId="0" fontId="0" fillId="27" borderId="43" xfId="0" applyFont="1" applyFill="1" applyBorder="1" applyAlignment="1" applyProtection="1">
      <alignment horizontal="center" vertical="center"/>
      <protection/>
    </xf>
    <xf numFmtId="187" fontId="0" fillId="27" borderId="53" xfId="0" applyNumberFormat="1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/>
    </xf>
    <xf numFmtId="0" fontId="49" fillId="27" borderId="0" xfId="0" applyFont="1" applyFill="1" applyBorder="1" applyAlignment="1" applyProtection="1">
      <alignment horizontal="center" vertical="center"/>
      <protection locked="0"/>
    </xf>
    <xf numFmtId="1" fontId="49" fillId="27" borderId="81" xfId="0" applyNumberFormat="1" applyFont="1" applyFill="1" applyBorder="1" applyAlignment="1" applyProtection="1">
      <alignment horizontal="center" vertical="center"/>
      <protection/>
    </xf>
    <xf numFmtId="0" fontId="0" fillId="27" borderId="81" xfId="0" applyFont="1" applyFill="1" applyBorder="1" applyAlignment="1" applyProtection="1">
      <alignment horizontal="center" vertical="center"/>
      <protection/>
    </xf>
    <xf numFmtId="0" fontId="0" fillId="27" borderId="0" xfId="0" applyFont="1" applyFill="1" applyBorder="1" applyAlignment="1" applyProtection="1">
      <alignment horizontal="center" vertical="center"/>
      <protection/>
    </xf>
    <xf numFmtId="0" fontId="9" fillId="27" borderId="0" xfId="0" applyFont="1" applyFill="1" applyBorder="1" applyAlignment="1" applyProtection="1">
      <alignment horizontal="center" vertical="center"/>
      <protection/>
    </xf>
    <xf numFmtId="0" fontId="2" fillId="27" borderId="82" xfId="0" applyFont="1" applyFill="1" applyBorder="1" applyAlignment="1" applyProtection="1">
      <alignment horizontal="center" vertical="center" wrapText="1"/>
      <protection/>
    </xf>
    <xf numFmtId="3" fontId="49" fillId="27" borderId="42" xfId="0" applyNumberFormat="1" applyFont="1" applyFill="1" applyBorder="1" applyAlignment="1" applyProtection="1">
      <alignment horizontal="center" vertical="center"/>
      <protection/>
    </xf>
    <xf numFmtId="3" fontId="49" fillId="27" borderId="43" xfId="0" applyNumberFormat="1" applyFont="1" applyFill="1" applyBorder="1" applyAlignment="1" applyProtection="1">
      <alignment horizontal="center" vertical="center"/>
      <protection locked="0"/>
    </xf>
    <xf numFmtId="3" fontId="49" fillId="27" borderId="43" xfId="0" applyNumberFormat="1" applyFont="1" applyFill="1" applyBorder="1" applyAlignment="1" applyProtection="1">
      <alignment horizontal="center" vertical="center"/>
      <protection/>
    </xf>
    <xf numFmtId="1" fontId="49" fillId="27" borderId="43" xfId="0" applyNumberFormat="1" applyFont="1" applyFill="1" applyBorder="1" applyAlignment="1" applyProtection="1">
      <alignment horizontal="center" vertical="center"/>
      <protection/>
    </xf>
    <xf numFmtId="3" fontId="0" fillId="7" borderId="43" xfId="0" applyNumberFormat="1" applyFont="1" applyFill="1" applyBorder="1" applyAlignment="1" applyProtection="1">
      <alignment horizontal="center" vertical="center"/>
      <protection/>
    </xf>
    <xf numFmtId="187" fontId="9" fillId="27" borderId="53" xfId="0" applyNumberFormat="1" applyFont="1" applyFill="1" applyBorder="1" applyAlignment="1" applyProtection="1">
      <alignment horizontal="center" vertical="center"/>
      <protection/>
    </xf>
    <xf numFmtId="3" fontId="49" fillId="27" borderId="0" xfId="0" applyNumberFormat="1" applyFont="1" applyFill="1" applyBorder="1" applyAlignment="1" applyProtection="1">
      <alignment horizontal="center" vertical="center"/>
      <protection/>
    </xf>
    <xf numFmtId="3" fontId="49" fillId="27" borderId="0" xfId="0" applyNumberFormat="1" applyFont="1" applyFill="1" applyBorder="1" applyAlignment="1" applyProtection="1">
      <alignment horizontal="center" vertical="center"/>
      <protection locked="0"/>
    </xf>
    <xf numFmtId="1" fontId="49" fillId="27" borderId="0" xfId="0" applyNumberFormat="1" applyFont="1" applyFill="1" applyBorder="1" applyAlignment="1" applyProtection="1">
      <alignment horizontal="center" vertical="center"/>
      <protection/>
    </xf>
    <xf numFmtId="3" fontId="9" fillId="27" borderId="0" xfId="0" applyNumberFormat="1" applyFont="1" applyFill="1" applyBorder="1" applyAlignment="1" applyProtection="1">
      <alignment horizontal="center" vertical="center"/>
      <protection/>
    </xf>
    <xf numFmtId="3" fontId="2" fillId="27" borderId="0" xfId="0" applyNumberFormat="1" applyFont="1" applyFill="1" applyBorder="1" applyAlignment="1" applyProtection="1">
      <alignment horizontal="center" vertical="center"/>
      <protection/>
    </xf>
    <xf numFmtId="3" fontId="9" fillId="27" borderId="42" xfId="0" applyNumberFormat="1" applyFont="1" applyFill="1" applyBorder="1" applyAlignment="1" applyProtection="1">
      <alignment horizontal="center" vertical="center"/>
      <protection/>
    </xf>
    <xf numFmtId="3" fontId="9" fillId="27" borderId="43" xfId="0" applyNumberFormat="1" applyFont="1" applyFill="1" applyBorder="1" applyAlignment="1" applyProtection="1">
      <alignment horizontal="center" vertical="center"/>
      <protection locked="0"/>
    </xf>
    <xf numFmtId="1" fontId="9" fillId="27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3" fontId="17" fillId="0" borderId="0" xfId="0" applyNumberFormat="1" applyFont="1" applyAlignment="1">
      <alignment/>
    </xf>
    <xf numFmtId="3" fontId="18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center" vertical="center" wrapText="1"/>
    </xf>
    <xf numFmtId="3" fontId="12" fillId="19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2" fillId="19" borderId="26" xfId="0" applyNumberFormat="1" applyFont="1" applyFill="1" applyBorder="1" applyAlignment="1">
      <alignment horizontal="center" vertical="center"/>
    </xf>
    <xf numFmtId="3" fontId="56" fillId="0" borderId="0" xfId="0" applyNumberFormat="1" applyFont="1" applyAlignment="1">
      <alignment/>
    </xf>
    <xf numFmtId="3" fontId="12" fillId="26" borderId="10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/>
    </xf>
    <xf numFmtId="3" fontId="12" fillId="19" borderId="36" xfId="0" applyNumberFormat="1" applyFont="1" applyFill="1" applyBorder="1" applyAlignment="1">
      <alignment horizontal="center" vertical="center" wrapText="1"/>
    </xf>
    <xf numFmtId="3" fontId="12" fillId="15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9" fillId="27" borderId="27" xfId="0" applyFont="1" applyFill="1" applyBorder="1" applyAlignment="1" applyProtection="1">
      <alignment horizontal="center" vertical="center"/>
      <protection/>
    </xf>
    <xf numFmtId="0" fontId="49" fillId="27" borderId="28" xfId="0" applyFont="1" applyFill="1" applyBorder="1" applyAlignment="1" applyProtection="1">
      <alignment horizontal="center" vertical="center"/>
      <protection locked="0"/>
    </xf>
    <xf numFmtId="0" fontId="49" fillId="27" borderId="28" xfId="0" applyFont="1" applyFill="1" applyBorder="1" applyAlignment="1" applyProtection="1">
      <alignment horizontal="center" vertical="center"/>
      <protection/>
    </xf>
    <xf numFmtId="187" fontId="9" fillId="27" borderId="28" xfId="49" applyNumberFormat="1" applyFont="1" applyFill="1" applyBorder="1" applyAlignment="1" applyProtection="1">
      <alignment horizontal="center" vertical="center"/>
      <protection/>
    </xf>
    <xf numFmtId="187" fontId="49" fillId="27" borderId="28" xfId="0" applyNumberFormat="1" applyFont="1" applyFill="1" applyBorder="1" applyAlignment="1" applyProtection="1">
      <alignment horizontal="center" vertical="center"/>
      <protection/>
    </xf>
    <xf numFmtId="1" fontId="9" fillId="27" borderId="28" xfId="0" applyNumberFormat="1" applyFont="1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/>
    </xf>
    <xf numFmtId="0" fontId="9" fillId="27" borderId="28" xfId="0" applyFont="1" applyFill="1" applyBorder="1" applyAlignment="1" applyProtection="1">
      <alignment horizontal="center" vertical="center"/>
      <protection/>
    </xf>
    <xf numFmtId="187" fontId="9" fillId="20" borderId="45" xfId="0" applyNumberFormat="1" applyFont="1" applyFill="1" applyBorder="1" applyAlignment="1" applyProtection="1">
      <alignment horizontal="center" vertical="center"/>
      <protection/>
    </xf>
    <xf numFmtId="187" fontId="9" fillId="20" borderId="35" xfId="0" applyNumberFormat="1" applyFont="1" applyFill="1" applyBorder="1" applyAlignment="1" applyProtection="1">
      <alignment horizontal="center" vertical="center"/>
      <protection/>
    </xf>
    <xf numFmtId="187" fontId="49" fillId="27" borderId="42" xfId="0" applyNumberFormat="1" applyFont="1" applyFill="1" applyBorder="1" applyAlignment="1" applyProtection="1">
      <alignment horizontal="center" vertical="center"/>
      <protection/>
    </xf>
    <xf numFmtId="187" fontId="49" fillId="27" borderId="43" xfId="0" applyNumberFormat="1" applyFont="1" applyFill="1" applyBorder="1" applyAlignment="1" applyProtection="1">
      <alignment horizontal="center" vertical="center"/>
      <protection/>
    </xf>
    <xf numFmtId="0" fontId="0" fillId="7" borderId="43" xfId="0" applyFont="1" applyFill="1" applyBorder="1" applyAlignment="1" applyProtection="1">
      <alignment horizontal="center" vertical="center"/>
      <protection/>
    </xf>
    <xf numFmtId="187" fontId="9" fillId="27" borderId="43" xfId="0" applyNumberFormat="1" applyFont="1" applyFill="1" applyBorder="1" applyAlignment="1" applyProtection="1">
      <alignment horizontal="center" vertical="center"/>
      <protection/>
    </xf>
    <xf numFmtId="187" fontId="9" fillId="0" borderId="43" xfId="0" applyNumberFormat="1" applyFont="1" applyFill="1" applyBorder="1" applyAlignment="1" applyProtection="1">
      <alignment horizontal="center" vertical="center"/>
      <protection/>
    </xf>
    <xf numFmtId="187" fontId="9" fillId="20" borderId="81" xfId="0" applyNumberFormat="1" applyFont="1" applyFill="1" applyBorder="1" applyAlignment="1" applyProtection="1">
      <alignment horizontal="center" vertical="center"/>
      <protection/>
    </xf>
    <xf numFmtId="187" fontId="9" fillId="20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173" fontId="2" fillId="7" borderId="46" xfId="0" applyNumberFormat="1" applyFont="1" applyFill="1" applyBorder="1" applyAlignment="1">
      <alignment/>
    </xf>
    <xf numFmtId="173" fontId="2" fillId="7" borderId="83" xfId="0" applyNumberFormat="1" applyFont="1" applyFill="1" applyBorder="1" applyAlignment="1">
      <alignment/>
    </xf>
    <xf numFmtId="173" fontId="2" fillId="7" borderId="84" xfId="0" applyNumberFormat="1" applyFont="1" applyFill="1" applyBorder="1" applyAlignment="1">
      <alignment/>
    </xf>
    <xf numFmtId="10" fontId="2" fillId="20" borderId="48" xfId="0" applyNumberFormat="1" applyFont="1" applyFill="1" applyBorder="1" applyAlignment="1">
      <alignment/>
    </xf>
    <xf numFmtId="173" fontId="4" fillId="0" borderId="11" xfId="0" applyNumberFormat="1" applyFont="1" applyBorder="1" applyAlignment="1">
      <alignment vertical="top"/>
    </xf>
    <xf numFmtId="10" fontId="2" fillId="0" borderId="13" xfId="0" applyNumberFormat="1" applyFont="1" applyBorder="1" applyAlignment="1">
      <alignment vertical="top"/>
    </xf>
    <xf numFmtId="10" fontId="2" fillId="0" borderId="16" xfId="0" applyNumberFormat="1" applyFont="1" applyBorder="1" applyAlignment="1">
      <alignment vertical="top"/>
    </xf>
    <xf numFmtId="173" fontId="4" fillId="0" borderId="17" xfId="0" applyNumberFormat="1" applyFont="1" applyBorder="1" applyAlignment="1">
      <alignment vertical="top"/>
    </xf>
    <xf numFmtId="173" fontId="2" fillId="0" borderId="18" xfId="0" applyNumberFormat="1" applyFont="1" applyBorder="1" applyAlignment="1">
      <alignment vertical="top"/>
    </xf>
    <xf numFmtId="10" fontId="2" fillId="0" borderId="34" xfId="0" applyNumberFormat="1" applyFont="1" applyBorder="1" applyAlignment="1">
      <alignment vertical="top"/>
    </xf>
    <xf numFmtId="173" fontId="5" fillId="0" borderId="19" xfId="0" applyNumberFormat="1" applyFont="1" applyBorder="1" applyAlignment="1">
      <alignment vertical="top"/>
    </xf>
    <xf numFmtId="10" fontId="2" fillId="0" borderId="37" xfId="0" applyNumberFormat="1" applyFont="1" applyBorder="1" applyAlignment="1">
      <alignment vertical="top"/>
    </xf>
    <xf numFmtId="0" fontId="2" fillId="4" borderId="82" xfId="0" applyFont="1" applyFill="1" applyBorder="1" applyAlignment="1">
      <alignment horizontal="center" vertical="top" wrapText="1"/>
    </xf>
    <xf numFmtId="0" fontId="2" fillId="10" borderId="82" xfId="0" applyFont="1" applyFill="1" applyBorder="1" applyAlignment="1">
      <alignment horizontal="center" vertical="top" wrapText="1"/>
    </xf>
    <xf numFmtId="0" fontId="2" fillId="20" borderId="10" xfId="0" applyFont="1" applyFill="1" applyBorder="1" applyAlignment="1">
      <alignment horizontal="center" vertical="top" wrapText="1"/>
    </xf>
    <xf numFmtId="0" fontId="2" fillId="7" borderId="85" xfId="0" applyFont="1" applyFill="1" applyBorder="1" applyAlignment="1">
      <alignment horizontal="center" vertical="top" wrapText="1"/>
    </xf>
    <xf numFmtId="0" fontId="2" fillId="3" borderId="36" xfId="0" applyFont="1" applyFill="1" applyBorder="1" applyAlignment="1">
      <alignment horizontal="center" vertical="top" wrapText="1"/>
    </xf>
    <xf numFmtId="0" fontId="2" fillId="25" borderId="36" xfId="0" applyFont="1" applyFill="1" applyBorder="1" applyAlignment="1">
      <alignment horizontal="center" vertical="top" wrapText="1"/>
    </xf>
    <xf numFmtId="0" fontId="2" fillId="20" borderId="8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7" fillId="0" borderId="0" xfId="0" applyFon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2" fillId="26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26" borderId="1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/>
    </xf>
    <xf numFmtId="3" fontId="2" fillId="19" borderId="10" xfId="0" applyNumberFormat="1" applyFont="1" applyFill="1" applyBorder="1" applyAlignment="1">
      <alignment horizontal="center" vertical="center"/>
    </xf>
    <xf numFmtId="3" fontId="2" fillId="19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8" fillId="8" borderId="1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8" fillId="8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8" fillId="22" borderId="0" xfId="0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0" fillId="0" borderId="33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0" xfId="0" applyFill="1" applyBorder="1" applyAlignment="1">
      <alignment/>
    </xf>
    <xf numFmtId="173" fontId="0" fillId="0" borderId="33" xfId="0" applyNumberForma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173" fontId="0" fillId="0" borderId="24" xfId="0" applyNumberFormat="1" applyFill="1" applyBorder="1" applyAlignment="1">
      <alignment/>
    </xf>
    <xf numFmtId="173" fontId="0" fillId="0" borderId="49" xfId="0" applyNumberFormat="1" applyFill="1" applyBorder="1" applyAlignment="1">
      <alignment/>
    </xf>
    <xf numFmtId="173" fontId="0" fillId="0" borderId="30" xfId="0" applyNumberFormat="1" applyFill="1" applyBorder="1" applyAlignment="1">
      <alignment/>
    </xf>
    <xf numFmtId="173" fontId="0" fillId="0" borderId="16" xfId="0" applyNumberFormat="1" applyFill="1" applyBorder="1" applyAlignment="1">
      <alignment/>
    </xf>
    <xf numFmtId="9" fontId="0" fillId="0" borderId="80" xfId="0" applyNumberFormat="1" applyFill="1" applyBorder="1" applyAlignment="1">
      <alignment/>
    </xf>
    <xf numFmtId="0" fontId="0" fillId="22" borderId="33" xfId="0" applyFont="1" applyFill="1" applyBorder="1" applyAlignment="1">
      <alignment/>
    </xf>
    <xf numFmtId="0" fontId="0" fillId="22" borderId="30" xfId="0" applyFill="1" applyBorder="1" applyAlignment="1">
      <alignment/>
    </xf>
    <xf numFmtId="0" fontId="8" fillId="22" borderId="24" xfId="0" applyFont="1" applyFill="1" applyBorder="1" applyAlignment="1">
      <alignment horizontal="center"/>
    </xf>
    <xf numFmtId="173" fontId="0" fillId="22" borderId="49" xfId="0" applyNumberFormat="1" applyFill="1" applyBorder="1" applyAlignment="1">
      <alignment/>
    </xf>
    <xf numFmtId="9" fontId="0" fillId="22" borderId="80" xfId="0" applyNumberFormat="1" applyFill="1" applyBorder="1" applyAlignment="1">
      <alignment/>
    </xf>
    <xf numFmtId="0" fontId="0" fillId="15" borderId="10" xfId="0" applyFill="1" applyBorder="1" applyAlignment="1">
      <alignment horizontal="center" vertical="center"/>
    </xf>
    <xf numFmtId="0" fontId="0" fillId="0" borderId="32" xfId="0" applyBorder="1" applyAlignment="1">
      <alignment/>
    </xf>
    <xf numFmtId="9" fontId="0" fillId="0" borderId="86" xfId="0" applyNumberFormat="1" applyFill="1" applyBorder="1" applyAlignment="1">
      <alignment/>
    </xf>
    <xf numFmtId="173" fontId="0" fillId="0" borderId="0" xfId="0" applyNumberFormat="1" applyFill="1" applyAlignment="1">
      <alignment/>
    </xf>
    <xf numFmtId="0" fontId="2" fillId="0" borderId="33" xfId="0" applyFont="1" applyBorder="1" applyAlignment="1">
      <alignment/>
    </xf>
    <xf numFmtId="9" fontId="0" fillId="0" borderId="68" xfId="0" applyNumberFormat="1" applyFill="1" applyBorder="1" applyAlignment="1">
      <alignment/>
    </xf>
    <xf numFmtId="173" fontId="0" fillId="3" borderId="49" xfId="0" applyNumberFormat="1" applyFill="1" applyBorder="1" applyAlignment="1">
      <alignment/>
    </xf>
    <xf numFmtId="9" fontId="0" fillId="3" borderId="80" xfId="0" applyNumberFormat="1" applyFill="1" applyBorder="1" applyAlignment="1">
      <alignment/>
    </xf>
    <xf numFmtId="0" fontId="0" fillId="7" borderId="15" xfId="0" applyFont="1" applyFill="1" applyBorder="1" applyAlignment="1" applyProtection="1">
      <alignment horizontal="center" vertical="center" wrapText="1"/>
      <protection locked="0"/>
    </xf>
    <xf numFmtId="0" fontId="0" fillId="22" borderId="15" xfId="0" applyFont="1" applyFill="1" applyBorder="1" applyAlignment="1" applyProtection="1">
      <alignment horizontal="center" vertical="center" wrapText="1"/>
      <protection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8" borderId="15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56" xfId="0" applyBorder="1" applyAlignment="1">
      <alignment/>
    </xf>
    <xf numFmtId="0" fontId="0" fillId="0" borderId="46" xfId="0" applyBorder="1" applyAlignment="1">
      <alignment/>
    </xf>
    <xf numFmtId="0" fontId="0" fillId="0" borderId="54" xfId="0" applyBorder="1" applyAlignment="1">
      <alignment/>
    </xf>
    <xf numFmtId="0" fontId="0" fillId="0" borderId="48" xfId="0" applyBorder="1" applyAlignment="1">
      <alignment/>
    </xf>
    <xf numFmtId="0" fontId="0" fillId="0" borderId="85" xfId="0" applyBorder="1" applyAlignment="1">
      <alignment/>
    </xf>
    <xf numFmtId="0" fontId="0" fillId="0" borderId="75" xfId="0" applyBorder="1" applyAlignment="1">
      <alignment/>
    </xf>
    <xf numFmtId="0" fontId="0" fillId="0" borderId="82" xfId="0" applyBorder="1" applyAlignment="1">
      <alignment/>
    </xf>
    <xf numFmtId="0" fontId="0" fillId="7" borderId="67" xfId="0" applyFont="1" applyFill="1" applyBorder="1" applyAlignment="1" applyProtection="1">
      <alignment horizontal="center" vertical="center"/>
      <protection/>
    </xf>
    <xf numFmtId="1" fontId="9" fillId="27" borderId="53" xfId="0" applyNumberFormat="1" applyFont="1" applyFill="1" applyBorder="1" applyAlignment="1" applyProtection="1">
      <alignment horizontal="center" vertical="center"/>
      <protection/>
    </xf>
    <xf numFmtId="3" fontId="0" fillId="7" borderId="67" xfId="0" applyNumberFormat="1" applyFont="1" applyFill="1" applyBorder="1" applyAlignment="1" applyProtection="1">
      <alignment horizontal="center" vertical="center"/>
      <protection/>
    </xf>
    <xf numFmtId="3" fontId="9" fillId="27" borderId="53" xfId="0" applyNumberFormat="1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/>
    </xf>
    <xf numFmtId="0" fontId="0" fillId="0" borderId="23" xfId="0" applyFill="1" applyBorder="1" applyAlignment="1">
      <alignment/>
    </xf>
    <xf numFmtId="173" fontId="0" fillId="0" borderId="32" xfId="0" applyNumberFormat="1" applyFill="1" applyBorder="1" applyAlignment="1">
      <alignment/>
    </xf>
    <xf numFmtId="173" fontId="0" fillId="0" borderId="23" xfId="0" applyNumberFormat="1" applyFill="1" applyBorder="1" applyAlignment="1">
      <alignment/>
    </xf>
    <xf numFmtId="173" fontId="0" fillId="0" borderId="39" xfId="0" applyNumberFormat="1" applyFill="1" applyBorder="1" applyAlignment="1">
      <alignment/>
    </xf>
    <xf numFmtId="173" fontId="0" fillId="0" borderId="29" xfId="0" applyNumberFormat="1" applyFill="1" applyBorder="1" applyAlignment="1">
      <alignment/>
    </xf>
    <xf numFmtId="9" fontId="0" fillId="0" borderId="43" xfId="0" applyNumberFormat="1" applyFill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28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35" xfId="0" applyNumberFormat="1" applyBorder="1" applyAlignment="1">
      <alignment/>
    </xf>
    <xf numFmtId="176" fontId="0" fillId="0" borderId="34" xfId="0" applyNumberFormat="1" applyBorder="1" applyAlignment="1">
      <alignment/>
    </xf>
    <xf numFmtId="176" fontId="0" fillId="3" borderId="0" xfId="0" applyNumberFormat="1" applyFill="1" applyAlignment="1">
      <alignment/>
    </xf>
    <xf numFmtId="176" fontId="0" fillId="3" borderId="14" xfId="0" applyNumberFormat="1" applyFill="1" applyBorder="1" applyAlignment="1">
      <alignment/>
    </xf>
    <xf numFmtId="176" fontId="0" fillId="3" borderId="15" xfId="0" applyNumberFormat="1" applyFill="1" applyBorder="1" applyAlignment="1">
      <alignment/>
    </xf>
    <xf numFmtId="176" fontId="0" fillId="3" borderId="15" xfId="0" applyNumberFormat="1" applyFill="1" applyBorder="1" applyAlignment="1">
      <alignment/>
    </xf>
    <xf numFmtId="176" fontId="0" fillId="3" borderId="16" xfId="0" applyNumberFormat="1" applyFill="1" applyBorder="1" applyAlignment="1">
      <alignment/>
    </xf>
    <xf numFmtId="173" fontId="0" fillId="3" borderId="14" xfId="0" applyNumberFormat="1" applyFill="1" applyBorder="1" applyAlignment="1">
      <alignment/>
    </xf>
    <xf numFmtId="173" fontId="0" fillId="3" borderId="28" xfId="0" applyNumberFormat="1" applyFill="1" applyBorder="1" applyAlignment="1">
      <alignment/>
    </xf>
    <xf numFmtId="176" fontId="0" fillId="3" borderId="14" xfId="0" applyNumberFormat="1" applyFont="1" applyFill="1" applyBorder="1" applyAlignment="1">
      <alignment/>
    </xf>
    <xf numFmtId="176" fontId="0" fillId="3" borderId="15" xfId="0" applyNumberFormat="1" applyFont="1" applyFill="1" applyBorder="1" applyAlignment="1">
      <alignment/>
    </xf>
    <xf numFmtId="176" fontId="0" fillId="3" borderId="14" xfId="0" applyNumberForma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textRotation="255" wrapText="1"/>
    </xf>
    <xf numFmtId="0" fontId="16" fillId="0" borderId="0" xfId="0" applyFont="1" applyBorder="1" applyAlignment="1">
      <alignment horizontal="center" vertical="center" textRotation="255"/>
    </xf>
    <xf numFmtId="176" fontId="0" fillId="22" borderId="14" xfId="0" applyNumberFormat="1" applyFill="1" applyBorder="1" applyAlignment="1">
      <alignment/>
    </xf>
    <xf numFmtId="176" fontId="0" fillId="22" borderId="15" xfId="0" applyNumberFormat="1" applyFill="1" applyBorder="1" applyAlignment="1">
      <alignment/>
    </xf>
    <xf numFmtId="176" fontId="0" fillId="22" borderId="28" xfId="0" applyNumberFormat="1" applyFill="1" applyBorder="1" applyAlignment="1">
      <alignment/>
    </xf>
    <xf numFmtId="176" fontId="0" fillId="22" borderId="16" xfId="0" applyNumberFormat="1" applyFill="1" applyBorder="1" applyAlignment="1">
      <alignment/>
    </xf>
    <xf numFmtId="9" fontId="0" fillId="0" borderId="41" xfId="0" applyNumberFormat="1" applyFill="1" applyBorder="1" applyAlignment="1">
      <alignment/>
    </xf>
    <xf numFmtId="203" fontId="0" fillId="0" borderId="0" xfId="0" applyNumberFormat="1" applyFont="1" applyFill="1" applyAlignment="1" applyProtection="1">
      <alignment/>
      <protection/>
    </xf>
    <xf numFmtId="204" fontId="0" fillId="0" borderId="0" xfId="0" applyNumberFormat="1" applyFont="1" applyFill="1" applyAlignment="1" applyProtection="1">
      <alignment/>
      <protection/>
    </xf>
    <xf numFmtId="0" fontId="0" fillId="0" borderId="59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5" xfId="0" applyFont="1" applyBorder="1" applyAlignment="1" applyProtection="1">
      <alignment/>
      <protection/>
    </xf>
    <xf numFmtId="187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187" fontId="0" fillId="0" borderId="15" xfId="0" applyNumberFormat="1" applyFont="1" applyBorder="1" applyAlignment="1" applyProtection="1">
      <alignment/>
      <protection/>
    </xf>
    <xf numFmtId="0" fontId="0" fillId="7" borderId="33" xfId="0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30" xfId="0" applyFill="1" applyBorder="1" applyAlignment="1">
      <alignment/>
    </xf>
    <xf numFmtId="173" fontId="0" fillId="7" borderId="33" xfId="0" applyNumberFormat="1" applyFill="1" applyBorder="1" applyAlignment="1">
      <alignment/>
    </xf>
    <xf numFmtId="0" fontId="8" fillId="7" borderId="24" xfId="0" applyFont="1" applyFill="1" applyBorder="1" applyAlignment="1">
      <alignment horizontal="center"/>
    </xf>
    <xf numFmtId="173" fontId="0" fillId="7" borderId="24" xfId="0" applyNumberFormat="1" applyFill="1" applyBorder="1" applyAlignment="1">
      <alignment/>
    </xf>
    <xf numFmtId="173" fontId="0" fillId="7" borderId="49" xfId="0" applyNumberFormat="1" applyFill="1" applyBorder="1" applyAlignment="1">
      <alignment/>
    </xf>
    <xf numFmtId="173" fontId="0" fillId="7" borderId="30" xfId="0" applyNumberFormat="1" applyFill="1" applyBorder="1" applyAlignment="1">
      <alignment/>
    </xf>
    <xf numFmtId="9" fontId="0" fillId="7" borderId="80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28" xfId="0" applyFill="1" applyBorder="1" applyAlignment="1">
      <alignment/>
    </xf>
    <xf numFmtId="173" fontId="0" fillId="3" borderId="15" xfId="0" applyNumberFormat="1" applyFill="1" applyBorder="1" applyAlignment="1">
      <alignment/>
    </xf>
    <xf numFmtId="0" fontId="0" fillId="3" borderId="14" xfId="0" applyFill="1" applyBorder="1" applyAlignment="1">
      <alignment/>
    </xf>
    <xf numFmtId="1" fontId="0" fillId="3" borderId="28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8" xfId="0" applyFill="1" applyBorder="1" applyAlignment="1">
      <alignment/>
    </xf>
    <xf numFmtId="173" fontId="0" fillId="7" borderId="14" xfId="0" applyNumberFormat="1" applyFont="1" applyFill="1" applyBorder="1" applyAlignment="1">
      <alignment/>
    </xf>
    <xf numFmtId="173" fontId="0" fillId="7" borderId="15" xfId="0" applyNumberFormat="1" applyFont="1" applyFill="1" applyBorder="1" applyAlignment="1">
      <alignment/>
    </xf>
    <xf numFmtId="173" fontId="0" fillId="7" borderId="14" xfId="0" applyNumberFormat="1" applyFill="1" applyBorder="1" applyAlignment="1">
      <alignment/>
    </xf>
    <xf numFmtId="173" fontId="0" fillId="7" borderId="28" xfId="0" applyNumberFormat="1" applyFill="1" applyBorder="1" applyAlignment="1">
      <alignment/>
    </xf>
    <xf numFmtId="0" fontId="8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208" fontId="0" fillId="0" borderId="0" xfId="0" applyNumberFormat="1" applyFont="1" applyFill="1" applyAlignment="1" applyProtection="1">
      <alignment/>
      <protection/>
    </xf>
    <xf numFmtId="173" fontId="0" fillId="0" borderId="15" xfId="0" applyNumberForma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176" fontId="0" fillId="7" borderId="14" xfId="0" applyNumberFormat="1" applyFill="1" applyBorder="1" applyAlignment="1">
      <alignment/>
    </xf>
    <xf numFmtId="176" fontId="0" fillId="7" borderId="15" xfId="0" applyNumberFormat="1" applyFill="1" applyBorder="1" applyAlignment="1">
      <alignment/>
    </xf>
    <xf numFmtId="176" fontId="0" fillId="7" borderId="16" xfId="0" applyNumberFormat="1" applyFill="1" applyBorder="1" applyAlignment="1">
      <alignment/>
    </xf>
    <xf numFmtId="0" fontId="58" fillId="0" borderId="36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/>
    </xf>
    <xf numFmtId="173" fontId="8" fillId="22" borderId="15" xfId="0" applyNumberFormat="1" applyFont="1" applyFill="1" applyBorder="1" applyAlignment="1">
      <alignment horizontal="center"/>
    </xf>
    <xf numFmtId="173" fontId="8" fillId="8" borderId="15" xfId="0" applyNumberFormat="1" applyFont="1" applyFill="1" applyBorder="1" applyAlignment="1">
      <alignment horizontal="center"/>
    </xf>
    <xf numFmtId="173" fontId="8" fillId="0" borderId="15" xfId="0" applyNumberFormat="1" applyFont="1" applyBorder="1" applyAlignment="1">
      <alignment horizontal="center"/>
    </xf>
    <xf numFmtId="173" fontId="8" fillId="7" borderId="15" xfId="0" applyNumberFormat="1" applyFont="1" applyFill="1" applyBorder="1" applyAlignment="1">
      <alignment horizontal="center"/>
    </xf>
    <xf numFmtId="173" fontId="59" fillId="0" borderId="20" xfId="0" applyNumberFormat="1" applyFont="1" applyBorder="1" applyAlignment="1">
      <alignment horizontal="center"/>
    </xf>
    <xf numFmtId="0" fontId="15" fillId="4" borderId="30" xfId="0" applyFont="1" applyFill="1" applyBorder="1" applyAlignment="1">
      <alignment/>
    </xf>
    <xf numFmtId="0" fontId="15" fillId="4" borderId="58" xfId="0" applyFont="1" applyFill="1" applyBorder="1" applyAlignment="1">
      <alignment/>
    </xf>
    <xf numFmtId="0" fontId="15" fillId="4" borderId="60" xfId="0" applyFont="1" applyFill="1" applyBorder="1" applyAlignment="1">
      <alignment/>
    </xf>
    <xf numFmtId="0" fontId="15" fillId="4" borderId="61" xfId="0" applyFont="1" applyFill="1" applyBorder="1" applyAlignment="1">
      <alignment/>
    </xf>
    <xf numFmtId="0" fontId="61" fillId="27" borderId="0" xfId="0" applyFont="1" applyFill="1" applyBorder="1" applyAlignment="1">
      <alignment horizontal="right" vertical="top" wrapText="1"/>
    </xf>
    <xf numFmtId="173" fontId="0" fillId="0" borderId="0" xfId="0" applyNumberFormat="1" applyBorder="1" applyAlignment="1">
      <alignment/>
    </xf>
    <xf numFmtId="0" fontId="1" fillId="0" borderId="83" xfId="0" applyFont="1" applyBorder="1" applyAlignment="1">
      <alignment/>
    </xf>
    <xf numFmtId="0" fontId="1" fillId="0" borderId="84" xfId="0" applyFont="1" applyBorder="1" applyAlignment="1">
      <alignment/>
    </xf>
    <xf numFmtId="0" fontId="1" fillId="0" borderId="87" xfId="0" applyFont="1" applyBorder="1" applyAlignment="1">
      <alignment/>
    </xf>
    <xf numFmtId="173" fontId="1" fillId="0" borderId="83" xfId="0" applyNumberFormat="1" applyFont="1" applyBorder="1" applyAlignment="1">
      <alignment/>
    </xf>
    <xf numFmtId="0" fontId="59" fillId="0" borderId="84" xfId="0" applyFont="1" applyBorder="1" applyAlignment="1">
      <alignment horizontal="center"/>
    </xf>
    <xf numFmtId="173" fontId="1" fillId="0" borderId="84" xfId="0" applyNumberFormat="1" applyFont="1" applyBorder="1" applyAlignment="1">
      <alignment/>
    </xf>
    <xf numFmtId="173" fontId="1" fillId="0" borderId="77" xfId="0" applyNumberFormat="1" applyFont="1" applyBorder="1" applyAlignment="1">
      <alignment/>
    </xf>
    <xf numFmtId="173" fontId="1" fillId="0" borderId="87" xfId="0" applyNumberFormat="1" applyFont="1" applyBorder="1" applyAlignment="1">
      <alignment/>
    </xf>
    <xf numFmtId="9" fontId="1" fillId="0" borderId="26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17" fillId="0" borderId="54" xfId="0" applyFont="1" applyBorder="1" applyAlignment="1">
      <alignment/>
    </xf>
    <xf numFmtId="0" fontId="17" fillId="0" borderId="0" xfId="0" applyFont="1" applyAlignment="1">
      <alignment horizontal="right"/>
    </xf>
    <xf numFmtId="0" fontId="0" fillId="0" borderId="2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8" xfId="0" applyFill="1" applyBorder="1" applyAlignment="1">
      <alignment/>
    </xf>
    <xf numFmtId="0" fontId="0" fillId="3" borderId="25" xfId="0" applyFont="1" applyFill="1" applyBorder="1" applyAlignment="1">
      <alignment/>
    </xf>
    <xf numFmtId="0" fontId="0" fillId="3" borderId="33" xfId="0" applyFill="1" applyBorder="1" applyAlignment="1">
      <alignment/>
    </xf>
    <xf numFmtId="0" fontId="0" fillId="0" borderId="33" xfId="0" applyFill="1" applyBorder="1" applyAlignment="1">
      <alignment/>
    </xf>
    <xf numFmtId="173" fontId="2" fillId="11" borderId="10" xfId="0" applyNumberFormat="1" applyFont="1" applyFill="1" applyBorder="1" applyAlignment="1">
      <alignment/>
    </xf>
    <xf numFmtId="173" fontId="2" fillId="11" borderId="77" xfId="0" applyNumberFormat="1" applyFont="1" applyFill="1" applyBorder="1" applyAlignment="1">
      <alignment/>
    </xf>
    <xf numFmtId="173" fontId="8" fillId="3" borderId="15" xfId="0" applyNumberFormat="1" applyFont="1" applyFill="1" applyBorder="1" applyAlignment="1">
      <alignment horizontal="center"/>
    </xf>
    <xf numFmtId="173" fontId="8" fillId="3" borderId="24" xfId="0" applyNumberFormat="1" applyFont="1" applyFill="1" applyBorder="1" applyAlignment="1">
      <alignment horizontal="center"/>
    </xf>
    <xf numFmtId="173" fontId="8" fillId="0" borderId="24" xfId="0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/>
    </xf>
    <xf numFmtId="10" fontId="2" fillId="0" borderId="0" xfId="53" applyNumberFormat="1" applyFont="1" applyFill="1" applyBorder="1" applyAlignment="1">
      <alignment/>
    </xf>
    <xf numFmtId="0" fontId="0" fillId="4" borderId="28" xfId="0" applyFill="1" applyBorder="1" applyAlignment="1">
      <alignment/>
    </xf>
    <xf numFmtId="0" fontId="0" fillId="4" borderId="81" xfId="0" applyFill="1" applyBorder="1" applyAlignment="1">
      <alignment/>
    </xf>
    <xf numFmtId="0" fontId="0" fillId="4" borderId="25" xfId="0" applyFill="1" applyBorder="1" applyAlignment="1">
      <alignment/>
    </xf>
    <xf numFmtId="174" fontId="19" fillId="0" borderId="0" xfId="0" applyNumberFormat="1" applyFont="1" applyFill="1" applyBorder="1" applyAlignment="1">
      <alignment horizontal="center" vertical="center" wrapText="1"/>
    </xf>
    <xf numFmtId="174" fontId="16" fillId="0" borderId="0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Alignment="1" applyProtection="1">
      <alignment/>
      <protection locked="0"/>
    </xf>
    <xf numFmtId="174" fontId="20" fillId="0" borderId="0" xfId="0" applyNumberFormat="1" applyFont="1" applyFill="1" applyBorder="1" applyAlignment="1" applyProtection="1">
      <alignment horizontal="center"/>
      <protection locked="0"/>
    </xf>
    <xf numFmtId="17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/>
      <protection locked="0"/>
    </xf>
    <xf numFmtId="3" fontId="19" fillId="0" borderId="0" xfId="0" applyNumberFormat="1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22" borderId="25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9" fontId="0" fillId="3" borderId="16" xfId="0" applyNumberFormat="1" applyFill="1" applyBorder="1" applyAlignment="1">
      <alignment/>
    </xf>
    <xf numFmtId="9" fontId="0" fillId="0" borderId="16" xfId="0" applyNumberFormat="1" applyFill="1" applyBorder="1" applyAlignment="1">
      <alignment/>
    </xf>
    <xf numFmtId="9" fontId="0" fillId="8" borderId="16" xfId="0" applyNumberFormat="1" applyFill="1" applyBorder="1" applyAlignment="1">
      <alignment/>
    </xf>
    <xf numFmtId="9" fontId="0" fillId="7" borderId="16" xfId="0" applyNumberFormat="1" applyFill="1" applyBorder="1" applyAlignment="1">
      <alignment/>
    </xf>
    <xf numFmtId="9" fontId="0" fillId="22" borderId="16" xfId="0" applyNumberFormat="1" applyFill="1" applyBorder="1" applyAlignment="1">
      <alignment/>
    </xf>
    <xf numFmtId="173" fontId="0" fillId="0" borderId="14" xfId="0" applyNumberFormat="1" applyFill="1" applyBorder="1" applyAlignment="1">
      <alignment/>
    </xf>
    <xf numFmtId="9" fontId="0" fillId="0" borderId="34" xfId="0" applyNumberFormat="1" applyFont="1" applyBorder="1" applyAlignment="1">
      <alignment/>
    </xf>
    <xf numFmtId="0" fontId="0" fillId="8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28" xfId="0" applyFill="1" applyBorder="1" applyAlignment="1">
      <alignment/>
    </xf>
    <xf numFmtId="173" fontId="0" fillId="0" borderId="16" xfId="0" applyNumberFormat="1" applyFill="1" applyBorder="1" applyAlignment="1">
      <alignment/>
    </xf>
    <xf numFmtId="0" fontId="0" fillId="8" borderId="24" xfId="0" applyFill="1" applyBorder="1" applyAlignment="1">
      <alignment/>
    </xf>
    <xf numFmtId="0" fontId="0" fillId="8" borderId="30" xfId="0" applyFill="1" applyBorder="1" applyAlignment="1">
      <alignment/>
    </xf>
    <xf numFmtId="173" fontId="0" fillId="8" borderId="33" xfId="0" applyNumberFormat="1" applyFill="1" applyBorder="1" applyAlignment="1">
      <alignment/>
    </xf>
    <xf numFmtId="0" fontId="8" fillId="8" borderId="24" xfId="0" applyFont="1" applyFill="1" applyBorder="1" applyAlignment="1">
      <alignment horizontal="center"/>
    </xf>
    <xf numFmtId="173" fontId="0" fillId="8" borderId="24" xfId="0" applyNumberFormat="1" applyFill="1" applyBorder="1" applyAlignment="1">
      <alignment/>
    </xf>
    <xf numFmtId="173" fontId="0" fillId="8" borderId="49" xfId="0" applyNumberFormat="1" applyFill="1" applyBorder="1" applyAlignment="1">
      <alignment/>
    </xf>
    <xf numFmtId="173" fontId="0" fillId="8" borderId="30" xfId="0" applyNumberFormat="1" applyFill="1" applyBorder="1" applyAlignment="1">
      <alignment/>
    </xf>
    <xf numFmtId="9" fontId="0" fillId="8" borderId="80" xfId="0" applyNumberFormat="1" applyFill="1" applyBorder="1" applyAlignment="1">
      <alignment/>
    </xf>
    <xf numFmtId="1" fontId="0" fillId="7" borderId="28" xfId="0" applyNumberFormat="1" applyFill="1" applyBorder="1" applyAlignment="1">
      <alignment/>
    </xf>
    <xf numFmtId="173" fontId="8" fillId="7" borderId="24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61" fillId="0" borderId="0" xfId="0" applyFont="1" applyFill="1" applyBorder="1" applyAlignment="1">
      <alignment horizontal="right" vertical="top" wrapText="1"/>
    </xf>
    <xf numFmtId="17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175" fontId="2" fillId="0" borderId="0" xfId="0" applyNumberFormat="1" applyFont="1" applyFill="1" applyBorder="1" applyAlignment="1">
      <alignment vertical="top"/>
    </xf>
    <xf numFmtId="0" fontId="0" fillId="0" borderId="58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176" fontId="0" fillId="0" borderId="33" xfId="0" applyNumberFormat="1" applyFill="1" applyBorder="1" applyAlignment="1">
      <alignment/>
    </xf>
    <xf numFmtId="176" fontId="0" fillId="0" borderId="24" xfId="0" applyNumberFormat="1" applyFill="1" applyBorder="1" applyAlignment="1">
      <alignment/>
    </xf>
    <xf numFmtId="1" fontId="0" fillId="0" borderId="30" xfId="0" applyNumberFormat="1" applyFill="1" applyBorder="1" applyAlignment="1">
      <alignment/>
    </xf>
    <xf numFmtId="176" fontId="0" fillId="0" borderId="49" xfId="0" applyNumberFormat="1" applyFill="1" applyBorder="1" applyAlignment="1">
      <alignment/>
    </xf>
    <xf numFmtId="211" fontId="0" fillId="0" borderId="14" xfId="0" applyNumberFormat="1" applyFill="1" applyBorder="1" applyAlignment="1">
      <alignment/>
    </xf>
    <xf numFmtId="2" fontId="0" fillId="22" borderId="25" xfId="0" applyNumberFormat="1" applyFont="1" applyFill="1" applyBorder="1" applyAlignment="1">
      <alignment/>
    </xf>
    <xf numFmtId="9" fontId="0" fillId="22" borderId="25" xfId="53" applyFont="1" applyFill="1" applyBorder="1" applyAlignment="1">
      <alignment/>
    </xf>
    <xf numFmtId="176" fontId="8" fillId="22" borderId="14" xfId="0" applyNumberFormat="1" applyFont="1" applyFill="1" applyBorder="1" applyAlignment="1">
      <alignment horizontal="center"/>
    </xf>
    <xf numFmtId="176" fontId="0" fillId="0" borderId="58" xfId="0" applyNumberFormat="1" applyFill="1" applyBorder="1" applyAlignment="1">
      <alignment/>
    </xf>
    <xf numFmtId="176" fontId="0" fillId="0" borderId="57" xfId="0" applyNumberFormat="1" applyFill="1" applyBorder="1" applyAlignment="1">
      <alignment/>
    </xf>
    <xf numFmtId="176" fontId="8" fillId="0" borderId="58" xfId="0" applyNumberFormat="1" applyFont="1" applyFill="1" applyBorder="1" applyAlignment="1">
      <alignment horizontal="center"/>
    </xf>
    <xf numFmtId="176" fontId="0" fillId="0" borderId="81" xfId="0" applyNumberFormat="1" applyFill="1" applyBorder="1" applyAlignment="1">
      <alignment/>
    </xf>
    <xf numFmtId="0" fontId="0" fillId="3" borderId="32" xfId="0" applyFont="1" applyFill="1" applyBorder="1" applyAlignment="1">
      <alignment/>
    </xf>
    <xf numFmtId="0" fontId="0" fillId="3" borderId="59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32" xfId="0" applyFill="1" applyBorder="1" applyAlignment="1">
      <alignment/>
    </xf>
    <xf numFmtId="0" fontId="0" fillId="3" borderId="59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2" fontId="0" fillId="3" borderId="33" xfId="0" applyNumberForma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26" xfId="0" applyBorder="1" applyAlignment="1">
      <alignment horizontal="center"/>
    </xf>
    <xf numFmtId="0" fontId="2" fillId="0" borderId="2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85" xfId="0" applyFill="1" applyBorder="1" applyAlignment="1">
      <alignment/>
    </xf>
    <xf numFmtId="0" fontId="2" fillId="0" borderId="36" xfId="0" applyFont="1" applyFill="1" applyBorder="1" applyAlignment="1">
      <alignment horizontal="center" vertical="top" wrapText="1"/>
    </xf>
    <xf numFmtId="0" fontId="5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1" fillId="0" borderId="47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22" xfId="0" applyBorder="1" applyAlignment="1">
      <alignment/>
    </xf>
    <xf numFmtId="0" fontId="2" fillId="0" borderId="47" xfId="0" applyFont="1" applyBorder="1" applyAlignment="1">
      <alignment horizontal="center" vertical="top"/>
    </xf>
    <xf numFmtId="0" fontId="2" fillId="0" borderId="51" xfId="0" applyFont="1" applyBorder="1" applyAlignment="1">
      <alignment/>
    </xf>
    <xf numFmtId="0" fontId="2" fillId="0" borderId="22" xfId="0" applyFont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0" fontId="2" fillId="0" borderId="47" xfId="0" applyFont="1" applyBorder="1" applyAlignment="1">
      <alignment vertical="top" wrapText="1"/>
    </xf>
    <xf numFmtId="0" fontId="0" fillId="0" borderId="47" xfId="0" applyBorder="1" applyAlignment="1">
      <alignment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36" xfId="0" applyFont="1" applyBorder="1" applyAlignment="1">
      <alignment vertical="top"/>
    </xf>
    <xf numFmtId="0" fontId="0" fillId="0" borderId="26" xfId="0" applyBorder="1" applyAlignment="1">
      <alignment/>
    </xf>
    <xf numFmtId="0" fontId="2" fillId="0" borderId="22" xfId="0" applyFont="1" applyFill="1" applyBorder="1" applyAlignment="1">
      <alignment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28" borderId="47" xfId="0" applyFont="1" applyFill="1" applyBorder="1" applyAlignment="1">
      <alignment horizontal="center"/>
    </xf>
    <xf numFmtId="0" fontId="1" fillId="28" borderId="51" xfId="0" applyFont="1" applyFill="1" applyBorder="1" applyAlignment="1">
      <alignment horizontal="center"/>
    </xf>
    <xf numFmtId="0" fontId="1" fillId="28" borderId="22" xfId="0" applyFont="1" applyFill="1" applyBorder="1" applyAlignment="1">
      <alignment horizontal="center"/>
    </xf>
    <xf numFmtId="3" fontId="1" fillId="19" borderId="36" xfId="0" applyNumberFormat="1" applyFont="1" applyFill="1" applyBorder="1" applyAlignment="1">
      <alignment horizontal="center" vertical="center"/>
    </xf>
    <xf numFmtId="3" fontId="1" fillId="19" borderId="68" xfId="0" applyNumberFormat="1" applyFont="1" applyFill="1" applyBorder="1" applyAlignment="1">
      <alignment horizontal="center" vertical="center"/>
    </xf>
    <xf numFmtId="3" fontId="1" fillId="19" borderId="26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2" fillId="19" borderId="47" xfId="0" applyFont="1" applyFill="1" applyBorder="1" applyAlignment="1">
      <alignment horizontal="center"/>
    </xf>
    <xf numFmtId="0" fontId="0" fillId="19" borderId="51" xfId="0" applyFill="1" applyBorder="1" applyAlignment="1">
      <alignment/>
    </xf>
    <xf numFmtId="0" fontId="0" fillId="19" borderId="22" xfId="0" applyFill="1" applyBorder="1" applyAlignment="1">
      <alignment/>
    </xf>
    <xf numFmtId="0" fontId="12" fillId="19" borderId="47" xfId="0" applyFont="1" applyFill="1" applyBorder="1" applyAlignment="1">
      <alignment horizontal="center" wrapText="1"/>
    </xf>
    <xf numFmtId="0" fontId="0" fillId="19" borderId="51" xfId="0" applyFill="1" applyBorder="1" applyAlignment="1">
      <alignment wrapText="1"/>
    </xf>
    <xf numFmtId="0" fontId="0" fillId="19" borderId="22" xfId="0" applyFill="1" applyBorder="1" applyAlignment="1">
      <alignment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26" xfId="0" applyFont="1" applyBorder="1" applyAlignment="1">
      <alignment horizontal="center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68" xfId="0" applyFont="1" applyBorder="1" applyAlignment="1">
      <alignment horizontal="center" vertical="center" textRotation="255"/>
    </xf>
    <xf numFmtId="0" fontId="16" fillId="0" borderId="26" xfId="0" applyFont="1" applyBorder="1" applyAlignment="1">
      <alignment horizontal="center" vertical="center" textRotation="255"/>
    </xf>
    <xf numFmtId="3" fontId="0" fillId="0" borderId="2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66" xfId="0" applyNumberFormat="1" applyBorder="1" applyAlignment="1">
      <alignment horizontal="center" vertical="center"/>
    </xf>
    <xf numFmtId="3" fontId="2" fillId="19" borderId="36" xfId="0" applyNumberFormat="1" applyFont="1" applyFill="1" applyBorder="1" applyAlignment="1">
      <alignment horizontal="center" vertical="center"/>
    </xf>
    <xf numFmtId="3" fontId="2" fillId="19" borderId="68" xfId="0" applyNumberFormat="1" applyFont="1" applyFill="1" applyBorder="1" applyAlignment="1">
      <alignment horizontal="center" vertical="center"/>
    </xf>
    <xf numFmtId="3" fontId="2" fillId="19" borderId="26" xfId="0" applyNumberFormat="1" applyFont="1" applyFill="1" applyBorder="1" applyAlignment="1">
      <alignment horizontal="center" vertical="center"/>
    </xf>
    <xf numFmtId="174" fontId="20" fillId="22" borderId="16" xfId="0" applyNumberFormat="1" applyFont="1" applyFill="1" applyBorder="1" applyAlignment="1" applyProtection="1">
      <alignment horizontal="center" vertical="center"/>
      <protection locked="0"/>
    </xf>
    <xf numFmtId="174" fontId="20" fillId="7" borderId="16" xfId="0" applyNumberFormat="1" applyFont="1" applyFill="1" applyBorder="1" applyAlignment="1" applyProtection="1">
      <alignment horizontal="center" vertical="center"/>
      <protection locked="0"/>
    </xf>
    <xf numFmtId="174" fontId="19" fillId="0" borderId="36" xfId="0" applyNumberFormat="1" applyFont="1" applyFill="1" applyBorder="1" applyAlignment="1">
      <alignment horizontal="center" vertical="center" wrapText="1"/>
    </xf>
    <xf numFmtId="174" fontId="19" fillId="0" borderId="26" xfId="0" applyNumberFormat="1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wrapText="1"/>
    </xf>
    <xf numFmtId="0" fontId="15" fillId="4" borderId="57" xfId="0" applyFont="1" applyFill="1" applyBorder="1" applyAlignment="1">
      <alignment horizontal="center" wrapText="1"/>
    </xf>
    <xf numFmtId="0" fontId="15" fillId="4" borderId="58" xfId="0" applyFont="1" applyFill="1" applyBorder="1" applyAlignment="1">
      <alignment horizontal="center" wrapText="1"/>
    </xf>
    <xf numFmtId="0" fontId="15" fillId="4" borderId="60" xfId="0" applyFont="1" applyFill="1" applyBorder="1" applyAlignment="1">
      <alignment horizontal="center" wrapText="1"/>
    </xf>
    <xf numFmtId="0" fontId="15" fillId="4" borderId="55" xfId="0" applyFont="1" applyFill="1" applyBorder="1" applyAlignment="1">
      <alignment horizontal="center" wrapText="1"/>
    </xf>
    <xf numFmtId="0" fontId="15" fillId="4" borderId="61" xfId="0" applyFont="1" applyFill="1" applyBorder="1" applyAlignment="1">
      <alignment horizontal="center" wrapText="1"/>
    </xf>
    <xf numFmtId="0" fontId="15" fillId="4" borderId="29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 wrapText="1"/>
    </xf>
    <xf numFmtId="0" fontId="15" fillId="4" borderId="59" xfId="0" applyFont="1" applyFill="1" applyBorder="1" applyAlignment="1">
      <alignment horizontal="center" wrapText="1"/>
    </xf>
    <xf numFmtId="0" fontId="12" fillId="0" borderId="47" xfId="0" applyFont="1" applyFill="1" applyBorder="1" applyAlignment="1">
      <alignment horizontal="left"/>
    </xf>
    <xf numFmtId="0" fontId="12" fillId="0" borderId="51" xfId="0" applyFont="1" applyFill="1" applyBorder="1" applyAlignment="1">
      <alignment horizontal="left"/>
    </xf>
    <xf numFmtId="174" fontId="12" fillId="19" borderId="47" xfId="0" applyNumberFormat="1" applyFont="1" applyFill="1" applyBorder="1" applyAlignment="1">
      <alignment horizontal="center"/>
    </xf>
    <xf numFmtId="174" fontId="12" fillId="19" borderId="51" xfId="0" applyNumberFormat="1" applyFont="1" applyFill="1" applyBorder="1" applyAlignment="1">
      <alignment horizontal="center"/>
    </xf>
    <xf numFmtId="174" fontId="12" fillId="19" borderId="22" xfId="0" applyNumberFormat="1" applyFont="1" applyFill="1" applyBorder="1" applyAlignment="1">
      <alignment horizontal="center"/>
    </xf>
    <xf numFmtId="0" fontId="12" fillId="19" borderId="51" xfId="0" applyFont="1" applyFill="1" applyBorder="1" applyAlignment="1">
      <alignment horizontal="center"/>
    </xf>
    <xf numFmtId="0" fontId="12" fillId="19" borderId="22" xfId="0" applyFont="1" applyFill="1" applyBorder="1" applyAlignment="1">
      <alignment horizontal="center"/>
    </xf>
    <xf numFmtId="174" fontId="20" fillId="7" borderId="43" xfId="0" applyNumberFormat="1" applyFont="1" applyFill="1" applyBorder="1" applyAlignment="1" applyProtection="1">
      <alignment horizontal="center" vertical="center"/>
      <protection locked="0"/>
    </xf>
    <xf numFmtId="174" fontId="20" fillId="22" borderId="4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2" fillId="19" borderId="56" xfId="0" applyFont="1" applyFill="1" applyBorder="1" applyAlignment="1">
      <alignment horizontal="center"/>
    </xf>
    <xf numFmtId="0" fontId="12" fillId="19" borderId="0" xfId="0" applyFont="1" applyFill="1" applyBorder="1" applyAlignment="1">
      <alignment horizontal="center"/>
    </xf>
    <xf numFmtId="174" fontId="20" fillId="7" borderId="86" xfId="0" applyNumberFormat="1" applyFont="1" applyFill="1" applyBorder="1" applyAlignment="1" applyProtection="1">
      <alignment horizontal="center" vertical="center"/>
      <protection locked="0"/>
    </xf>
    <xf numFmtId="174" fontId="20" fillId="7" borderId="68" xfId="0" applyNumberFormat="1" applyFont="1" applyFill="1" applyBorder="1" applyAlignment="1" applyProtection="1">
      <alignment horizontal="center" vertical="center"/>
      <protection locked="0"/>
    </xf>
    <xf numFmtId="174" fontId="20" fillId="7" borderId="67" xfId="0" applyNumberFormat="1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>
      <alignment horizontal="center" vertical="top" wrapText="1"/>
    </xf>
    <xf numFmtId="0" fontId="0" fillId="4" borderId="57" xfId="0" applyFill="1" applyBorder="1" applyAlignment="1">
      <alignment horizontal="center" vertical="top" wrapText="1"/>
    </xf>
    <xf numFmtId="0" fontId="0" fillId="4" borderId="58" xfId="0" applyFill="1" applyBorder="1" applyAlignment="1">
      <alignment horizontal="center" vertical="top" wrapText="1"/>
    </xf>
    <xf numFmtId="0" fontId="0" fillId="4" borderId="29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59" xfId="0" applyFill="1" applyBorder="1" applyAlignment="1">
      <alignment horizontal="center" vertical="top" wrapText="1"/>
    </xf>
    <xf numFmtId="0" fontId="0" fillId="4" borderId="60" xfId="0" applyFill="1" applyBorder="1" applyAlignment="1">
      <alignment horizontal="center" vertical="top" wrapText="1"/>
    </xf>
    <xf numFmtId="0" fontId="0" fillId="4" borderId="55" xfId="0" applyFill="1" applyBorder="1" applyAlignment="1">
      <alignment horizontal="center" vertical="top" wrapText="1"/>
    </xf>
    <xf numFmtId="0" fontId="0" fillId="4" borderId="61" xfId="0" applyFill="1" applyBorder="1" applyAlignment="1">
      <alignment horizontal="center" vertical="top" wrapText="1"/>
    </xf>
    <xf numFmtId="3" fontId="12" fillId="15" borderId="36" xfId="0" applyNumberFormat="1" applyFont="1" applyFill="1" applyBorder="1" applyAlignment="1">
      <alignment horizontal="center" vertical="center"/>
    </xf>
    <xf numFmtId="3" fontId="12" fillId="15" borderId="26" xfId="0" applyNumberFormat="1" applyFont="1" applyFill="1" applyBorder="1" applyAlignment="1">
      <alignment horizontal="center" vertical="center"/>
    </xf>
    <xf numFmtId="3" fontId="19" fillId="20" borderId="36" xfId="0" applyNumberFormat="1" applyFont="1" applyFill="1" applyBorder="1" applyAlignment="1">
      <alignment horizontal="center" vertical="center" wrapText="1"/>
    </xf>
    <xf numFmtId="3" fontId="19" fillId="20" borderId="26" xfId="0" applyNumberFormat="1" applyFont="1" applyFill="1" applyBorder="1" applyAlignment="1">
      <alignment horizontal="center" vertical="center" wrapText="1"/>
    </xf>
    <xf numFmtId="3" fontId="12" fillId="19" borderId="36" xfId="0" applyNumberFormat="1" applyFont="1" applyFill="1" applyBorder="1" applyAlignment="1">
      <alignment horizontal="center" vertical="center"/>
    </xf>
    <xf numFmtId="3" fontId="12" fillId="19" borderId="68" xfId="0" applyNumberFormat="1" applyFont="1" applyFill="1" applyBorder="1" applyAlignment="1">
      <alignment horizontal="center" vertical="center"/>
    </xf>
    <xf numFmtId="3" fontId="12" fillId="19" borderId="26" xfId="0" applyNumberFormat="1" applyFont="1" applyFill="1" applyBorder="1" applyAlignment="1">
      <alignment horizontal="center" vertical="center"/>
    </xf>
    <xf numFmtId="3" fontId="12" fillId="15" borderId="68" xfId="0" applyNumberFormat="1" applyFont="1" applyFill="1" applyBorder="1" applyAlignment="1">
      <alignment horizontal="center" vertical="center"/>
    </xf>
    <xf numFmtId="0" fontId="12" fillId="19" borderId="85" xfId="0" applyFont="1" applyFill="1" applyBorder="1" applyAlignment="1">
      <alignment horizontal="center" vertical="center" wrapText="1"/>
    </xf>
    <xf numFmtId="0" fontId="12" fillId="19" borderId="75" xfId="0" applyFont="1" applyFill="1" applyBorder="1" applyAlignment="1">
      <alignment horizontal="center" vertical="center" wrapText="1"/>
    </xf>
    <xf numFmtId="0" fontId="12" fillId="19" borderId="82" xfId="0" applyFont="1" applyFill="1" applyBorder="1" applyAlignment="1">
      <alignment horizontal="center" vertical="center" wrapText="1"/>
    </xf>
    <xf numFmtId="0" fontId="12" fillId="19" borderId="46" xfId="0" applyFont="1" applyFill="1" applyBorder="1" applyAlignment="1">
      <alignment horizontal="center" vertical="center" wrapText="1"/>
    </xf>
    <xf numFmtId="0" fontId="12" fillId="19" borderId="54" xfId="0" applyFont="1" applyFill="1" applyBorder="1" applyAlignment="1">
      <alignment horizontal="center" vertical="center" wrapText="1"/>
    </xf>
    <xf numFmtId="0" fontId="12" fillId="19" borderId="48" xfId="0" applyFont="1" applyFill="1" applyBorder="1" applyAlignment="1">
      <alignment horizontal="center" vertical="center" wrapText="1"/>
    </xf>
    <xf numFmtId="0" fontId="9" fillId="27" borderId="85" xfId="0" applyFont="1" applyFill="1" applyBorder="1" applyAlignment="1" applyProtection="1">
      <alignment horizontal="center" vertical="center" wrapText="1"/>
      <protection/>
    </xf>
    <xf numFmtId="0" fontId="9" fillId="27" borderId="82" xfId="0" applyFont="1" applyFill="1" applyBorder="1" applyAlignment="1" applyProtection="1">
      <alignment horizontal="center" vertical="center" wrapText="1"/>
      <protection/>
    </xf>
    <xf numFmtId="0" fontId="9" fillId="27" borderId="56" xfId="0" applyFont="1" applyFill="1" applyBorder="1" applyAlignment="1" applyProtection="1">
      <alignment horizontal="center" vertical="center" wrapText="1"/>
      <protection/>
    </xf>
    <xf numFmtId="0" fontId="9" fillId="27" borderId="21" xfId="0" applyFont="1" applyFill="1" applyBorder="1" applyAlignment="1" applyProtection="1">
      <alignment horizontal="center" vertical="center" wrapText="1"/>
      <protection/>
    </xf>
    <xf numFmtId="0" fontId="9" fillId="27" borderId="0" xfId="0" applyFont="1" applyFill="1" applyBorder="1" applyAlignment="1" applyProtection="1">
      <alignment horizontal="center" vertical="center" wrapText="1"/>
      <protection/>
    </xf>
    <xf numFmtId="0" fontId="9" fillId="27" borderId="46" xfId="0" applyFont="1" applyFill="1" applyBorder="1" applyAlignment="1" applyProtection="1">
      <alignment horizontal="center" vertical="center" wrapText="1"/>
      <protection/>
    </xf>
    <xf numFmtId="0" fontId="9" fillId="27" borderId="54" xfId="0" applyFont="1" applyFill="1" applyBorder="1" applyAlignment="1" applyProtection="1">
      <alignment horizontal="center" vertical="center" wrapText="1"/>
      <protection/>
    </xf>
    <xf numFmtId="0" fontId="52" fillId="27" borderId="88" xfId="0" applyFont="1" applyFill="1" applyBorder="1" applyAlignment="1" applyProtection="1">
      <alignment horizontal="left" wrapText="1"/>
      <protection/>
    </xf>
    <xf numFmtId="0" fontId="52" fillId="27" borderId="89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left"/>
      <protection/>
    </xf>
    <xf numFmtId="0" fontId="2" fillId="27" borderId="0" xfId="0" applyFont="1" applyFill="1" applyBorder="1" applyAlignment="1" applyProtection="1">
      <alignment horizontal="center" vertical="center" wrapText="1"/>
      <protection/>
    </xf>
    <xf numFmtId="0" fontId="51" fillId="27" borderId="0" xfId="0" applyFont="1" applyFill="1" applyBorder="1" applyAlignment="1" applyProtection="1">
      <alignment horizontal="left" vertical="center" wrapText="1"/>
      <protection/>
    </xf>
    <xf numFmtId="0" fontId="51" fillId="27" borderId="73" xfId="0" applyFont="1" applyFill="1" applyBorder="1" applyAlignment="1" applyProtection="1">
      <alignment horizontal="left" vertical="center" wrapText="1"/>
      <protection/>
    </xf>
    <xf numFmtId="0" fontId="2" fillId="27" borderId="21" xfId="0" applyFont="1" applyFill="1" applyBorder="1" applyAlignment="1" applyProtection="1">
      <alignment horizontal="center" vertical="center" wrapText="1"/>
      <protection/>
    </xf>
    <xf numFmtId="0" fontId="2" fillId="27" borderId="48" xfId="0" applyFont="1" applyFill="1" applyBorder="1" applyAlignment="1" applyProtection="1">
      <alignment horizontal="center" vertical="center" wrapText="1"/>
      <protection/>
    </xf>
    <xf numFmtId="0" fontId="2" fillId="27" borderId="36" xfId="0" applyFont="1" applyFill="1" applyBorder="1" applyAlignment="1" applyProtection="1">
      <alignment horizontal="center" vertical="center" wrapText="1"/>
      <protection/>
    </xf>
    <xf numFmtId="0" fontId="2" fillId="27" borderId="68" xfId="0" applyFont="1" applyFill="1" applyBorder="1" applyAlignment="1" applyProtection="1">
      <alignment horizontal="center" vertical="center" wrapText="1"/>
      <protection/>
    </xf>
    <xf numFmtId="0" fontId="2" fillId="27" borderId="75" xfId="0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27" borderId="26" xfId="0" applyFont="1" applyFill="1" applyBorder="1" applyAlignment="1" applyProtection="1">
      <alignment horizontal="center" vertical="center" wrapText="1"/>
      <protection/>
    </xf>
    <xf numFmtId="0" fontId="2" fillId="27" borderId="15" xfId="0" applyFont="1" applyFill="1" applyBorder="1" applyAlignment="1" applyProtection="1">
      <alignment horizontal="center" vertical="center" wrapText="1"/>
      <protection/>
    </xf>
    <xf numFmtId="0" fontId="1" fillId="27" borderId="85" xfId="0" applyFont="1" applyFill="1" applyBorder="1" applyAlignment="1" applyProtection="1">
      <alignment horizontal="center" vertical="center"/>
      <protection/>
    </xf>
    <xf numFmtId="0" fontId="1" fillId="27" borderId="75" xfId="0" applyFont="1" applyFill="1" applyBorder="1" applyAlignment="1" applyProtection="1">
      <alignment horizontal="center" vertical="center"/>
      <protection/>
    </xf>
    <xf numFmtId="0" fontId="1" fillId="27" borderId="82" xfId="0" applyFont="1" applyFill="1" applyBorder="1" applyAlignment="1" applyProtection="1">
      <alignment horizontal="center" vertical="center"/>
      <protection/>
    </xf>
    <xf numFmtId="0" fontId="45" fillId="27" borderId="56" xfId="0" applyFont="1" applyFill="1" applyBorder="1" applyAlignment="1" applyProtection="1">
      <alignment horizontal="center" vertical="center"/>
      <protection/>
    </xf>
    <xf numFmtId="0" fontId="45" fillId="27" borderId="0" xfId="0" applyFont="1" applyFill="1" applyBorder="1" applyAlignment="1" applyProtection="1">
      <alignment horizontal="center" vertical="center"/>
      <protection/>
    </xf>
    <xf numFmtId="0" fontId="45" fillId="27" borderId="21" xfId="0" applyFont="1" applyFill="1" applyBorder="1" applyAlignment="1" applyProtection="1">
      <alignment horizontal="center" vertical="center"/>
      <protection/>
    </xf>
    <xf numFmtId="0" fontId="60" fillId="0" borderId="0" xfId="0" applyFont="1" applyBorder="1" applyAlignment="1">
      <alignment horizontal="center"/>
    </xf>
    <xf numFmtId="0" fontId="60" fillId="0" borderId="56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2" fillId="0" borderId="29" xfId="0" applyFont="1" applyBorder="1" applyAlignment="1">
      <alignment horizontal="right"/>
    </xf>
    <xf numFmtId="0" fontId="0" fillId="0" borderId="0" xfId="0" applyAlignment="1">
      <alignment horizontal="right"/>
    </xf>
    <xf numFmtId="0" fontId="22" fillId="0" borderId="0" xfId="0" applyFont="1" applyBorder="1" applyAlignment="1">
      <alignment horizontal="righ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_00825098-LF-2-MUCEM-FortStJean-58-A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4</xdr:row>
      <xdr:rowOff>142875</xdr:rowOff>
    </xdr:from>
    <xdr:to>
      <xdr:col>13</xdr:col>
      <xdr:colOff>752475</xdr:colOff>
      <xdr:row>7</xdr:row>
      <xdr:rowOff>114300</xdr:rowOff>
    </xdr:to>
    <xdr:sp>
      <xdr:nvSpPr>
        <xdr:cNvPr id="1" name="Rectangle 34"/>
        <xdr:cNvSpPr>
          <a:spLocks/>
        </xdr:cNvSpPr>
      </xdr:nvSpPr>
      <xdr:spPr>
        <a:xfrm>
          <a:off x="9515475" y="828675"/>
          <a:ext cx="2647950" cy="638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Avenant </a:t>
          </a:r>
          <a:r>
            <a:rPr lang="en-US" cap="none" sz="800" b="0" i="0" u="none" baseline="0">
              <a:solidFill>
                <a:srgbClr val="000000"/>
              </a:solidFill>
            </a:rPr>
            <a:t>au marché de travaux DUMEZ
</a:t>
          </a:r>
          <a:r>
            <a:rPr lang="en-US" cap="none" sz="800" b="1" i="0" u="none" baseline="0">
              <a:solidFill>
                <a:srgbClr val="000000"/>
              </a:solidFill>
            </a:rPr>
            <a:t>Avenants</a:t>
          </a:r>
          <a:r>
            <a:rPr lang="en-US" cap="none" sz="800" b="0" i="0" u="none" baseline="0">
              <a:solidFill>
                <a:srgbClr val="000000"/>
              </a:solidFill>
            </a:rPr>
            <a:t> lots techniques
</a:t>
          </a:r>
          <a:r>
            <a:rPr lang="en-US" cap="none" sz="800" b="1" i="0" u="none" baseline="0">
              <a:solidFill>
                <a:srgbClr val="000000"/>
              </a:solidFill>
            </a:rPr>
            <a:t>Avenant Passerelle 2
</a:t>
          </a:r>
        </a:p>
      </xdr:txBody>
    </xdr:sp>
    <xdr:clientData/>
  </xdr:twoCellAnchor>
  <xdr:twoCellAnchor>
    <xdr:from>
      <xdr:col>7</xdr:col>
      <xdr:colOff>9525</xdr:colOff>
      <xdr:row>5</xdr:row>
      <xdr:rowOff>19050</xdr:rowOff>
    </xdr:from>
    <xdr:to>
      <xdr:col>9</xdr:col>
      <xdr:colOff>133350</xdr:colOff>
      <xdr:row>8</xdr:row>
      <xdr:rowOff>0</xdr:rowOff>
    </xdr:to>
    <xdr:sp>
      <xdr:nvSpPr>
        <xdr:cNvPr id="2" name="Line 36"/>
        <xdr:cNvSpPr>
          <a:spLocks/>
        </xdr:cNvSpPr>
      </xdr:nvSpPr>
      <xdr:spPr>
        <a:xfrm flipH="1">
          <a:off x="7867650" y="866775"/>
          <a:ext cx="16668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19</xdr:row>
      <xdr:rowOff>47625</xdr:rowOff>
    </xdr:from>
    <xdr:to>
      <xdr:col>13</xdr:col>
      <xdr:colOff>752475</xdr:colOff>
      <xdr:row>22</xdr:row>
      <xdr:rowOff>76200</xdr:rowOff>
    </xdr:to>
    <xdr:sp>
      <xdr:nvSpPr>
        <xdr:cNvPr id="3" name="Text Box 39"/>
        <xdr:cNvSpPr txBox="1">
          <a:spLocks noChangeArrowheads="1"/>
        </xdr:cNvSpPr>
      </xdr:nvSpPr>
      <xdr:spPr>
        <a:xfrm>
          <a:off x="9534525" y="3267075"/>
          <a:ext cx="2628900" cy="485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Cloisonnement bureau + librairie : 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solde à engager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1 500 k €
</a:t>
          </a:r>
          <a:r>
            <a: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Avenant fin de chantier :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2 000 k €</a:t>
          </a:r>
        </a:p>
      </xdr:txBody>
    </xdr:sp>
    <xdr:clientData/>
  </xdr:twoCellAnchor>
  <xdr:twoCellAnchor>
    <xdr:from>
      <xdr:col>7</xdr:col>
      <xdr:colOff>9525</xdr:colOff>
      <xdr:row>21</xdr:row>
      <xdr:rowOff>85725</xdr:rowOff>
    </xdr:from>
    <xdr:to>
      <xdr:col>10</xdr:col>
      <xdr:colOff>0</xdr:colOff>
      <xdr:row>25</xdr:row>
      <xdr:rowOff>19050</xdr:rowOff>
    </xdr:to>
    <xdr:sp>
      <xdr:nvSpPr>
        <xdr:cNvPr id="4" name="Line 40"/>
        <xdr:cNvSpPr>
          <a:spLocks/>
        </xdr:cNvSpPr>
      </xdr:nvSpPr>
      <xdr:spPr>
        <a:xfrm flipH="1">
          <a:off x="7867650" y="3609975"/>
          <a:ext cx="16668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</xdr:rowOff>
    </xdr:from>
    <xdr:to>
      <xdr:col>10</xdr:col>
      <xdr:colOff>19050</xdr:colOff>
      <xdr:row>12</xdr:row>
      <xdr:rowOff>0</xdr:rowOff>
    </xdr:to>
    <xdr:sp>
      <xdr:nvSpPr>
        <xdr:cNvPr id="5" name="Line 44"/>
        <xdr:cNvSpPr>
          <a:spLocks/>
        </xdr:cNvSpPr>
      </xdr:nvSpPr>
      <xdr:spPr>
        <a:xfrm flipH="1">
          <a:off x="9401175" y="2019300"/>
          <a:ext cx="1524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8</xdr:row>
      <xdr:rowOff>19050</xdr:rowOff>
    </xdr:from>
    <xdr:to>
      <xdr:col>10</xdr:col>
      <xdr:colOff>0</xdr:colOff>
      <xdr:row>8</xdr:row>
      <xdr:rowOff>19050</xdr:rowOff>
    </xdr:to>
    <xdr:sp>
      <xdr:nvSpPr>
        <xdr:cNvPr id="6" name="Line 45"/>
        <xdr:cNvSpPr>
          <a:spLocks/>
        </xdr:cNvSpPr>
      </xdr:nvSpPr>
      <xdr:spPr>
        <a:xfrm flipH="1">
          <a:off x="9410700" y="153352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24</xdr:row>
      <xdr:rowOff>9525</xdr:rowOff>
    </xdr:from>
    <xdr:to>
      <xdr:col>9</xdr:col>
      <xdr:colOff>419100</xdr:colOff>
      <xdr:row>24</xdr:row>
      <xdr:rowOff>28575</xdr:rowOff>
    </xdr:to>
    <xdr:sp>
      <xdr:nvSpPr>
        <xdr:cNvPr id="1" name="Line 39"/>
        <xdr:cNvSpPr>
          <a:spLocks/>
        </xdr:cNvSpPr>
      </xdr:nvSpPr>
      <xdr:spPr>
        <a:xfrm flipH="1">
          <a:off x="8553450" y="4171950"/>
          <a:ext cx="20193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60</xdr:row>
      <xdr:rowOff>114300</xdr:rowOff>
    </xdr:from>
    <xdr:to>
      <xdr:col>10</xdr:col>
      <xdr:colOff>257175</xdr:colOff>
      <xdr:row>60</xdr:row>
      <xdr:rowOff>114300</xdr:rowOff>
    </xdr:to>
    <xdr:sp>
      <xdr:nvSpPr>
        <xdr:cNvPr id="1" name="AutoShape 10"/>
        <xdr:cNvSpPr>
          <a:spLocks/>
        </xdr:cNvSpPr>
      </xdr:nvSpPr>
      <xdr:spPr>
        <a:xfrm>
          <a:off x="10706100" y="1023937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571500</xdr:colOff>
      <xdr:row>59</xdr:row>
      <xdr:rowOff>123825</xdr:rowOff>
    </xdr:from>
    <xdr:to>
      <xdr:col>12</xdr:col>
      <xdr:colOff>390525</xdr:colOff>
      <xdr:row>59</xdr:row>
      <xdr:rowOff>123825</xdr:rowOff>
    </xdr:to>
    <xdr:sp>
      <xdr:nvSpPr>
        <xdr:cNvPr id="2" name="AutoShape 13"/>
        <xdr:cNvSpPr>
          <a:spLocks/>
        </xdr:cNvSpPr>
      </xdr:nvSpPr>
      <xdr:spPr>
        <a:xfrm>
          <a:off x="11277600" y="1008697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13</xdr:col>
      <xdr:colOff>0</xdr:colOff>
      <xdr:row>10</xdr:row>
      <xdr:rowOff>133350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0706100" y="1743075"/>
          <a:ext cx="1524000" cy="2952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Inclus dans marché Moe du J4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11</xdr:col>
      <xdr:colOff>0</xdr:colOff>
      <xdr:row>11</xdr:row>
      <xdr:rowOff>0</xdr:rowOff>
    </xdr:to>
    <xdr:sp>
      <xdr:nvSpPr>
        <xdr:cNvPr id="4" name="Line 25"/>
        <xdr:cNvSpPr>
          <a:spLocks/>
        </xdr:cNvSpPr>
      </xdr:nvSpPr>
      <xdr:spPr>
        <a:xfrm flipH="1">
          <a:off x="7515225" y="1752600"/>
          <a:ext cx="319087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9525</xdr:rowOff>
    </xdr:from>
    <xdr:to>
      <xdr:col>11</xdr:col>
      <xdr:colOff>9525</xdr:colOff>
      <xdr:row>10</xdr:row>
      <xdr:rowOff>161925</xdr:rowOff>
    </xdr:to>
    <xdr:sp>
      <xdr:nvSpPr>
        <xdr:cNvPr id="5" name="Line 26"/>
        <xdr:cNvSpPr>
          <a:spLocks/>
        </xdr:cNvSpPr>
      </xdr:nvSpPr>
      <xdr:spPr>
        <a:xfrm flipH="1">
          <a:off x="9010650" y="1752600"/>
          <a:ext cx="1704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3</xdr:row>
      <xdr:rowOff>152400</xdr:rowOff>
    </xdr:from>
    <xdr:to>
      <xdr:col>13</xdr:col>
      <xdr:colOff>0</xdr:colOff>
      <xdr:row>6</xdr:row>
      <xdr:rowOff>228600</xdr:rowOff>
    </xdr:to>
    <xdr:sp>
      <xdr:nvSpPr>
        <xdr:cNvPr id="6" name="Text Box 28"/>
        <xdr:cNvSpPr txBox="1">
          <a:spLocks noChangeArrowheads="1"/>
        </xdr:cNvSpPr>
      </xdr:nvSpPr>
      <xdr:spPr>
        <a:xfrm>
          <a:off x="10715625" y="714375"/>
          <a:ext cx="1514475" cy="561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Différenciel correspondant à l'aménagement du batiment E non prévu dans la Convention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11</xdr:col>
      <xdr:colOff>9525</xdr:colOff>
      <xdr:row>7</xdr:row>
      <xdr:rowOff>133350</xdr:rowOff>
    </xdr:to>
    <xdr:sp>
      <xdr:nvSpPr>
        <xdr:cNvPr id="7" name="Line 29"/>
        <xdr:cNvSpPr>
          <a:spLocks/>
        </xdr:cNvSpPr>
      </xdr:nvSpPr>
      <xdr:spPr>
        <a:xfrm flipH="1">
          <a:off x="10458450" y="733425"/>
          <a:ext cx="2571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0" y="0"/>
          <a:ext cx="0" cy="0"/>
        </a:xfrm>
        <a:prstGeom prst="bentConnector3">
          <a:avLst>
            <a:gd name="adj" fmla="val 9999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123825</xdr:rowOff>
    </xdr:from>
    <xdr:to>
      <xdr:col>10</xdr:col>
      <xdr:colOff>19050</xdr:colOff>
      <xdr:row>10</xdr:row>
      <xdr:rowOff>95250</xdr:rowOff>
    </xdr:to>
    <xdr:sp>
      <xdr:nvSpPr>
        <xdr:cNvPr id="15" name="Line 26"/>
        <xdr:cNvSpPr>
          <a:spLocks/>
        </xdr:cNvSpPr>
      </xdr:nvSpPr>
      <xdr:spPr>
        <a:xfrm>
          <a:off x="6610350" y="1714500"/>
          <a:ext cx="34480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66675</xdr:rowOff>
    </xdr:from>
    <xdr:to>
      <xdr:col>10</xdr:col>
      <xdr:colOff>200025</xdr:colOff>
      <xdr:row>13</xdr:row>
      <xdr:rowOff>104775</xdr:rowOff>
    </xdr:to>
    <xdr:sp>
      <xdr:nvSpPr>
        <xdr:cNvPr id="16" name="Line 28"/>
        <xdr:cNvSpPr>
          <a:spLocks/>
        </xdr:cNvSpPr>
      </xdr:nvSpPr>
      <xdr:spPr>
        <a:xfrm>
          <a:off x="9867900" y="2162175"/>
          <a:ext cx="3714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 rot="16200000">
          <a:off x="0" y="0"/>
          <a:ext cx="0" cy="0"/>
        </a:xfrm>
        <a:prstGeom prst="bentConnector3">
          <a:avLst>
            <a:gd name="adj" fmla="val 9999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0" y="0"/>
          <a:ext cx="0" cy="0"/>
        </a:xfrm>
        <a:prstGeom prst="bentConnector3">
          <a:avLst>
            <a:gd name="adj" fmla="val -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 flipV="1">
          <a:off x="0" y="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114300</xdr:rowOff>
    </xdr:from>
    <xdr:to>
      <xdr:col>9</xdr:col>
      <xdr:colOff>276225</xdr:colOff>
      <xdr:row>11</xdr:row>
      <xdr:rowOff>47625</xdr:rowOff>
    </xdr:to>
    <xdr:sp>
      <xdr:nvSpPr>
        <xdr:cNvPr id="15" name="Line 16"/>
        <xdr:cNvSpPr>
          <a:spLocks/>
        </xdr:cNvSpPr>
      </xdr:nvSpPr>
      <xdr:spPr>
        <a:xfrm>
          <a:off x="6619875" y="1704975"/>
          <a:ext cx="34956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133350</xdr:rowOff>
    </xdr:from>
    <xdr:to>
      <xdr:col>14</xdr:col>
      <xdr:colOff>180975</xdr:colOff>
      <xdr:row>56</xdr:row>
      <xdr:rowOff>123825</xdr:rowOff>
    </xdr:to>
    <xdr:sp>
      <xdr:nvSpPr>
        <xdr:cNvPr id="1" name="Line 16"/>
        <xdr:cNvSpPr>
          <a:spLocks/>
        </xdr:cNvSpPr>
      </xdr:nvSpPr>
      <xdr:spPr>
        <a:xfrm flipV="1">
          <a:off x="9525" y="4000500"/>
          <a:ext cx="12992100" cy="1163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28675" cy="628650"/>
    <xdr:sp>
      <xdr:nvSpPr>
        <xdr:cNvPr id="1" name="AutoShape 1" descr="outbind://119-000000000412DC2D55331F4090B1E1ECB4BF3F0A07000D209CB5154D774E866C7D205075FF13000000010C8D000093F2AFA596D9D34FBEA414BDF65D11E100000120EC3B0000/cid:374180315@28102011-205D"/>
        <xdr:cNvSpPr>
          <a:spLocks noChangeAspect="1"/>
        </xdr:cNvSpPr>
      </xdr:nvSpPr>
      <xdr:spPr>
        <a:xfrm>
          <a:off x="0" y="0"/>
          <a:ext cx="8286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200025</xdr:colOff>
      <xdr:row>7</xdr:row>
      <xdr:rowOff>95250</xdr:rowOff>
    </xdr:to>
    <xdr:pic>
      <xdr:nvPicPr>
        <xdr:cNvPr id="2" name="Picture 2" descr="http://intranet/intranet/OPPIC/CharteGraphique/logos/Operateur_basseDef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240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23.140625" style="0" customWidth="1"/>
    <col min="2" max="2" width="17.00390625" style="0" customWidth="1"/>
    <col min="3" max="5" width="17.57421875" style="0" customWidth="1"/>
    <col min="6" max="6" width="18.28125" style="0" customWidth="1"/>
    <col min="7" max="7" width="7.00390625" style="0" customWidth="1"/>
    <col min="8" max="8" width="16.57421875" style="0" bestFit="1" customWidth="1"/>
    <col min="9" max="10" width="16.57421875" style="0" customWidth="1"/>
    <col min="11" max="11" width="19.421875" style="0" customWidth="1"/>
    <col min="12" max="12" width="13.7109375" style="0" customWidth="1"/>
  </cols>
  <sheetData>
    <row r="1" spans="1:12" ht="18" customHeight="1" thickBot="1">
      <c r="A1" s="822" t="s">
        <v>57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4"/>
    </row>
    <row r="2" ht="13.5" thickBot="1">
      <c r="G2" s="25"/>
    </row>
    <row r="3" spans="1:12" ht="13.5" thickBot="1">
      <c r="A3" s="825" t="s">
        <v>502</v>
      </c>
      <c r="B3" s="826"/>
      <c r="C3" s="826"/>
      <c r="D3" s="826"/>
      <c r="E3" s="826"/>
      <c r="F3" s="826"/>
      <c r="G3" s="826"/>
      <c r="H3" s="826"/>
      <c r="I3" s="826"/>
      <c r="J3" s="826"/>
      <c r="K3" s="826"/>
      <c r="L3" s="827"/>
    </row>
    <row r="4" ht="12.75">
      <c r="G4" s="25"/>
    </row>
    <row r="5" ht="13.5" thickBot="1">
      <c r="G5" s="25"/>
    </row>
    <row r="6" spans="2:11" ht="39.75" thickBot="1">
      <c r="B6" s="548" t="s">
        <v>41</v>
      </c>
      <c r="C6" s="549" t="s">
        <v>129</v>
      </c>
      <c r="D6" s="549" t="s">
        <v>130</v>
      </c>
      <c r="E6" s="550" t="s">
        <v>131</v>
      </c>
      <c r="F6" s="551" t="s">
        <v>54</v>
      </c>
      <c r="G6" s="27"/>
      <c r="H6" s="545" t="s">
        <v>135</v>
      </c>
      <c r="I6" s="545" t="s">
        <v>136</v>
      </c>
      <c r="J6" s="546" t="s">
        <v>1</v>
      </c>
      <c r="K6" s="547" t="s">
        <v>3</v>
      </c>
    </row>
    <row r="7" spans="1:11" ht="28.5" customHeight="1" thickBot="1">
      <c r="A7" s="89" t="s">
        <v>90</v>
      </c>
      <c r="B7" s="96">
        <f>SUM(B8:B10)</f>
        <v>132760705</v>
      </c>
      <c r="C7" s="94">
        <f>SUM(C8:C10)</f>
        <v>114555927.06</v>
      </c>
      <c r="D7" s="94">
        <f>SUM(D8:D10)</f>
        <v>6025887.9</v>
      </c>
      <c r="E7" s="94">
        <f>SUM(E8:E10)</f>
        <v>120581814.95999998</v>
      </c>
      <c r="F7" s="544">
        <f aca="true" t="shared" si="0" ref="F7:F13">E7/B7</f>
        <v>0.9082643464419685</v>
      </c>
      <c r="G7" s="102"/>
      <c r="H7" s="91">
        <f>SUM(H8:H10)</f>
        <v>90241509.89000002</v>
      </c>
      <c r="I7" s="91">
        <f>SUM(I8:I10)</f>
        <v>4550942.099999999</v>
      </c>
      <c r="J7" s="116">
        <f>SUM(J8:J10)</f>
        <v>94792451.99000004</v>
      </c>
      <c r="K7" s="118">
        <f>J7/E7</f>
        <v>0.7861256029480489</v>
      </c>
    </row>
    <row r="8" spans="1:11" ht="28.5" customHeight="1">
      <c r="A8" s="90" t="s">
        <v>132</v>
      </c>
      <c r="B8" s="537">
        <v>102423000</v>
      </c>
      <c r="C8" s="88">
        <f>'MUCEM J4 J471'!D171</f>
        <v>90410042.64999999</v>
      </c>
      <c r="D8" s="88">
        <f>'MUCEM J4 J471'!F171</f>
        <v>5070587.9</v>
      </c>
      <c r="E8" s="88">
        <f>'MUCEM J4 J471'!G171</f>
        <v>95480630.54999998</v>
      </c>
      <c r="F8" s="538">
        <f t="shared" si="0"/>
        <v>0.9322186476670278</v>
      </c>
      <c r="G8" s="102"/>
      <c r="H8" s="87">
        <f>'MUCEM J4 J471'!H171</f>
        <v>78893707.41000001</v>
      </c>
      <c r="I8" s="85">
        <f>'MUCEM J4 J471'!I171</f>
        <v>4404757.949999999</v>
      </c>
      <c r="J8" s="86">
        <f>'MUCEM J4 J471'!J171</f>
        <v>83298465.36000004</v>
      </c>
      <c r="K8" s="119">
        <f aca="true" t="shared" si="1" ref="K8:K13">J8/E8</f>
        <v>0.8724121832896721</v>
      </c>
    </row>
    <row r="9" spans="1:11" ht="37.5" customHeight="1">
      <c r="A9" s="90" t="s">
        <v>281</v>
      </c>
      <c r="B9" s="92">
        <f>7600000+5000000</f>
        <v>12600000</v>
      </c>
      <c r="C9" s="85">
        <f>'2nd Oe + Access FSJ J474'!I40</f>
        <v>11846350.06</v>
      </c>
      <c r="D9" s="85">
        <f>'2nd Oe + Access FSJ J474'!I42</f>
        <v>473800</v>
      </c>
      <c r="E9" s="85">
        <f>'2nd Oe + Access FSJ J474'!I44</f>
        <v>12320150.06</v>
      </c>
      <c r="F9" s="539">
        <f t="shared" si="0"/>
        <v>0.9777896873015873</v>
      </c>
      <c r="G9" s="102"/>
      <c r="H9" s="87">
        <f>'2nd Oe + Access FSJ J474'!H28</f>
        <v>7467578.34</v>
      </c>
      <c r="I9" s="85">
        <f>'2nd Oe + Access FSJ J474'!I28</f>
        <v>112706.21999999999</v>
      </c>
      <c r="J9" s="86">
        <f>'2nd Oe + Access FSJ J474'!J28</f>
        <v>7580284.56</v>
      </c>
      <c r="K9" s="119">
        <f t="shared" si="1"/>
        <v>0.6152753434887951</v>
      </c>
    </row>
    <row r="10" spans="1:11" ht="37.5" customHeight="1" thickBot="1">
      <c r="A10" s="90" t="s">
        <v>236</v>
      </c>
      <c r="B10" s="540">
        <v>17737705</v>
      </c>
      <c r="C10" s="541">
        <f>'Muséo J4 J475'!D37+'Muséo Fort St Jean J476'!D35</f>
        <v>12299534.350000001</v>
      </c>
      <c r="D10" s="541">
        <f>'Muséo J4 J475'!I51+'Muséo Fort St Jean J476'!I49</f>
        <v>481500</v>
      </c>
      <c r="E10" s="541">
        <f>'Muséo J4 J475'!I53+'Muséo Fort St Jean J476'!I51</f>
        <v>12781034.35</v>
      </c>
      <c r="F10" s="542">
        <f t="shared" si="0"/>
        <v>0.7205573860879972</v>
      </c>
      <c r="G10" s="102"/>
      <c r="H10" s="87">
        <f>'Muséo J4 J475'!H37+'Muséo Fort St Jean J476'!H35</f>
        <v>3880224.14</v>
      </c>
      <c r="I10" s="85">
        <f>'Muséo J4 J475'!I37+'Muséo Fort St Jean J476'!I35</f>
        <v>33477.93</v>
      </c>
      <c r="J10" s="86">
        <f>'Muséo J4 J475'!J37+'Muséo Fort St Jean J476'!J35</f>
        <v>3913702.0700000003</v>
      </c>
      <c r="K10" s="119">
        <f t="shared" si="1"/>
        <v>0.30621168544156213</v>
      </c>
    </row>
    <row r="11" spans="1:11" ht="28.5" customHeight="1" thickBot="1">
      <c r="A11" s="93" t="s">
        <v>133</v>
      </c>
      <c r="B11" s="543">
        <v>8500000</v>
      </c>
      <c r="C11" s="94">
        <f>'paysagiste J473'!D31</f>
        <v>7895666.86</v>
      </c>
      <c r="D11" s="94">
        <f>'paysagiste J473'!F31</f>
        <v>317500</v>
      </c>
      <c r="E11" s="94">
        <f>'paysagiste J473'!G31</f>
        <v>8213166.86</v>
      </c>
      <c r="F11" s="544">
        <f t="shared" si="0"/>
        <v>0.9662549247058824</v>
      </c>
      <c r="G11" s="28"/>
      <c r="H11" s="103">
        <f>'paysagiste J473'!H31</f>
        <v>4050469.8399999994</v>
      </c>
      <c r="I11" s="103">
        <f>'paysagiste J473'!I31</f>
        <v>44198.030000000006</v>
      </c>
      <c r="J11" s="103">
        <f>'paysagiste J473'!J31</f>
        <v>4094667.87</v>
      </c>
      <c r="K11" s="117">
        <f t="shared" si="1"/>
        <v>0.49854921247758505</v>
      </c>
    </row>
    <row r="12" spans="1:11" ht="38.25" customHeight="1" thickBot="1">
      <c r="A12" s="95" t="s">
        <v>134</v>
      </c>
      <c r="B12" s="96">
        <v>19009295</v>
      </c>
      <c r="C12" s="94">
        <f>'Rénov MH Fort St Jean J472'!D70</f>
        <v>12052114.030000001</v>
      </c>
      <c r="D12" s="94">
        <f>'Rénov MH Fort St Jean J472'!F70</f>
        <v>298088.07</v>
      </c>
      <c r="E12" s="94">
        <f>'Rénov MH Fort St Jean J472'!G70</f>
        <v>12350202.100000003</v>
      </c>
      <c r="F12" s="544">
        <f t="shared" si="0"/>
        <v>0.6496928002853343</v>
      </c>
      <c r="G12" s="28"/>
      <c r="H12" s="38">
        <f>'Rénov MH Fort St Jean J472'!H70</f>
        <v>11276121.800000003</v>
      </c>
      <c r="I12" s="38">
        <f>'Rénov MH Fort St Jean J472'!I70</f>
        <v>190517.87</v>
      </c>
      <c r="J12" s="38">
        <f>'Rénov MH Fort St Jean J472'!J70</f>
        <v>11466639.67</v>
      </c>
      <c r="K12" s="104">
        <f t="shared" si="1"/>
        <v>0.9284576541464044</v>
      </c>
    </row>
    <row r="13" spans="1:11" ht="13.5" thickBot="1">
      <c r="A13" s="1" t="s">
        <v>0</v>
      </c>
      <c r="B13" s="533">
        <f>B7+B12+B11</f>
        <v>160270000</v>
      </c>
      <c r="C13" s="534">
        <f>C7+C12+C11</f>
        <v>134503707.95000002</v>
      </c>
      <c r="D13" s="535">
        <f>D7+D12+D11</f>
        <v>6641475.970000001</v>
      </c>
      <c r="E13" s="743">
        <f>E7+E12+E11</f>
        <v>141145183.92</v>
      </c>
      <c r="F13" s="536">
        <f t="shared" si="0"/>
        <v>0.8806712667373806</v>
      </c>
      <c r="G13" s="28"/>
      <c r="H13" s="30">
        <f>H12+H11+H7</f>
        <v>105568101.53000002</v>
      </c>
      <c r="I13" s="30">
        <f>I12+I11+I7</f>
        <v>4785657.999999999</v>
      </c>
      <c r="J13" s="742">
        <f>J12+J11+J7</f>
        <v>110353759.53000003</v>
      </c>
      <c r="K13" s="120">
        <f t="shared" si="1"/>
        <v>0.7818457312191941</v>
      </c>
    </row>
    <row r="14" spans="2:7" ht="13.5" thickBot="1">
      <c r="B14" s="3"/>
      <c r="C14" s="3"/>
      <c r="D14" s="3"/>
      <c r="E14" s="3"/>
      <c r="G14" s="25"/>
    </row>
    <row r="15" spans="1:7" ht="13.5" thickBot="1">
      <c r="A15" s="26" t="s">
        <v>58</v>
      </c>
      <c r="B15" s="3"/>
      <c r="C15" s="30">
        <v>160270000</v>
      </c>
      <c r="D15" s="97"/>
      <c r="E15" s="97"/>
      <c r="G15" s="25"/>
    </row>
    <row r="16" spans="1:7" ht="13.5" thickBot="1">
      <c r="A16" s="31" t="s">
        <v>59</v>
      </c>
      <c r="B16" s="3"/>
      <c r="C16" s="32">
        <f>C15-E13</f>
        <v>19124816.080000013</v>
      </c>
      <c r="D16" s="97"/>
      <c r="E16" s="97"/>
      <c r="G16" s="25"/>
    </row>
    <row r="17" ht="12.75">
      <c r="G17" s="25"/>
    </row>
    <row r="18" spans="6:7" ht="13.5" thickBot="1">
      <c r="F18" s="39"/>
      <c r="G18" s="25"/>
    </row>
    <row r="19" spans="2:10" ht="18" thickBot="1">
      <c r="B19" s="555" t="s">
        <v>60</v>
      </c>
      <c r="G19" s="33"/>
      <c r="H19" s="556" t="s">
        <v>61</v>
      </c>
      <c r="I19" s="98"/>
      <c r="J19" s="98"/>
    </row>
    <row r="20" spans="7:10" ht="13.5" thickBot="1">
      <c r="G20" s="25"/>
      <c r="H20" s="25"/>
      <c r="I20" s="25"/>
      <c r="J20" s="25"/>
    </row>
    <row r="21" spans="1:10" ht="39.75" thickBot="1">
      <c r="A21" s="23"/>
      <c r="B21" s="552" t="s">
        <v>52</v>
      </c>
      <c r="C21" s="552" t="s">
        <v>170</v>
      </c>
      <c r="D21" s="553" t="s">
        <v>63</v>
      </c>
      <c r="E21" s="99"/>
      <c r="F21" s="100"/>
      <c r="G21" s="34"/>
      <c r="H21" s="554" t="s">
        <v>62</v>
      </c>
      <c r="I21" s="554" t="s">
        <v>53</v>
      </c>
      <c r="J21" s="553" t="s">
        <v>64</v>
      </c>
    </row>
    <row r="22" spans="2:12" ht="13.5" thickBot="1">
      <c r="B22" s="35">
        <v>152854000</v>
      </c>
      <c r="C22" s="114">
        <f>E13</f>
        <v>141145183.92</v>
      </c>
      <c r="D22" s="115">
        <f>C22/B22</f>
        <v>0.9233986936553835</v>
      </c>
      <c r="E22" s="97"/>
      <c r="F22" s="101"/>
      <c r="G22" s="36"/>
      <c r="H22" s="37">
        <v>135859330</v>
      </c>
      <c r="I22" s="29">
        <f>J13</f>
        <v>110353759.53000003</v>
      </c>
      <c r="J22" s="115">
        <f>I22/H22</f>
        <v>0.8122648590273486</v>
      </c>
      <c r="K22" s="97"/>
      <c r="L22" s="101"/>
    </row>
    <row r="23" spans="2:12" s="220" customFormat="1" ht="12.75">
      <c r="B23" s="747"/>
      <c r="C23" s="97"/>
      <c r="D23" s="748"/>
      <c r="E23" s="97"/>
      <c r="F23" s="101"/>
      <c r="G23" s="747"/>
      <c r="H23" s="97"/>
      <c r="I23" s="97"/>
      <c r="J23" s="748"/>
      <c r="K23" s="97"/>
      <c r="L23" s="101"/>
    </row>
    <row r="24" spans="2:12" s="220" customFormat="1" ht="12.75">
      <c r="B24" s="747"/>
      <c r="C24" s="97"/>
      <c r="D24" s="748"/>
      <c r="E24" s="97"/>
      <c r="F24" s="101"/>
      <c r="G24" s="747"/>
      <c r="H24" s="97"/>
      <c r="I24" s="97"/>
      <c r="J24" s="748"/>
      <c r="K24" s="97"/>
      <c r="L24" s="101"/>
    </row>
    <row r="25" spans="2:12" s="220" customFormat="1" ht="12.75">
      <c r="B25" s="747"/>
      <c r="C25" s="97"/>
      <c r="D25" s="748"/>
      <c r="E25" s="97"/>
      <c r="F25" s="101"/>
      <c r="G25" s="747"/>
      <c r="H25" s="97"/>
      <c r="I25" s="97"/>
      <c r="J25" s="748"/>
      <c r="K25" s="97"/>
      <c r="L25" s="101"/>
    </row>
    <row r="26" spans="2:12" s="220" customFormat="1" ht="12.75">
      <c r="B26" s="747"/>
      <c r="C26" s="97"/>
      <c r="D26" s="748"/>
      <c r="E26" s="97"/>
      <c r="F26" s="101"/>
      <c r="G26" s="747"/>
      <c r="H26" s="97"/>
      <c r="I26" s="97"/>
      <c r="J26" s="748"/>
      <c r="K26" s="97"/>
      <c r="L26" s="101"/>
    </row>
    <row r="27" spans="2:12" s="220" customFormat="1" ht="12.75">
      <c r="B27" s="747"/>
      <c r="C27" s="97"/>
      <c r="D27" s="748"/>
      <c r="E27" s="97"/>
      <c r="F27" s="101"/>
      <c r="G27" s="747"/>
      <c r="H27" s="97"/>
      <c r="I27" s="97"/>
      <c r="J27" s="748"/>
      <c r="K27" s="97"/>
      <c r="L27" s="101"/>
    </row>
    <row r="28" spans="2:12" s="220" customFormat="1" ht="12.75">
      <c r="B28" s="747"/>
      <c r="C28" s="97"/>
      <c r="D28" s="748"/>
      <c r="E28" s="97"/>
      <c r="F28" s="101"/>
      <c r="G28" s="747"/>
      <c r="H28" s="97"/>
      <c r="I28" s="97"/>
      <c r="J28" s="748"/>
      <c r="K28" s="97"/>
      <c r="L28" s="101"/>
    </row>
    <row r="29" ht="12.75">
      <c r="G29" s="25"/>
    </row>
    <row r="30" spans="1:10" ht="12.75">
      <c r="A30" s="100"/>
      <c r="B30" s="100"/>
      <c r="C30" s="100"/>
      <c r="D30" s="100"/>
      <c r="E30" s="100"/>
      <c r="G30" s="25"/>
      <c r="H30" s="25"/>
      <c r="I30" s="25"/>
      <c r="J30" s="25"/>
    </row>
    <row r="31" spans="1:10" ht="12.75">
      <c r="A31" s="785"/>
      <c r="B31" s="784"/>
      <c r="C31" s="786"/>
      <c r="D31" s="786"/>
      <c r="E31" s="786"/>
      <c r="H31" s="722"/>
      <c r="I31" s="722"/>
      <c r="J31" s="722"/>
    </row>
    <row r="32" spans="1:10" ht="12.75">
      <c r="A32" s="828"/>
      <c r="B32" s="828"/>
      <c r="C32" s="787"/>
      <c r="D32" s="787"/>
      <c r="E32" s="787"/>
      <c r="H32" s="25"/>
      <c r="I32" s="25"/>
      <c r="J32" s="25"/>
    </row>
    <row r="33" spans="3:10" ht="12.75">
      <c r="C33" s="3"/>
      <c r="H33" s="25"/>
      <c r="I33" s="25"/>
      <c r="J33" s="25"/>
    </row>
    <row r="34" spans="2:10" ht="12.75">
      <c r="B34" s="39"/>
      <c r="C34" s="39"/>
      <c r="H34" s="723"/>
      <c r="I34" s="25"/>
      <c r="J34" s="25"/>
    </row>
    <row r="35" spans="2:10" ht="12.75">
      <c r="B35" s="3"/>
      <c r="C35" s="3"/>
      <c r="D35" s="3"/>
      <c r="H35" s="25"/>
      <c r="I35" s="25"/>
      <c r="J35" s="25"/>
    </row>
    <row r="36" spans="8:10" ht="12.75">
      <c r="H36" s="25"/>
      <c r="I36" s="25"/>
      <c r="J36" s="25"/>
    </row>
    <row r="37" spans="8:10" ht="12.75">
      <c r="H37" s="25"/>
      <c r="I37" s="25"/>
      <c r="J37" s="25"/>
    </row>
  </sheetData>
  <sheetProtection/>
  <mergeCells count="3">
    <mergeCell ref="A1:L1"/>
    <mergeCell ref="A3:L3"/>
    <mergeCell ref="A32:B32"/>
  </mergeCells>
  <printOptions/>
  <pageMargins left="0.35433070866141736" right="0.1968503937007874" top="0.787401574803149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tabSelected="1" zoomScale="75" zoomScaleNormal="75" zoomScalePageLayoutView="0" workbookViewId="0" topLeftCell="B1">
      <selection activeCell="G31" sqref="G31"/>
    </sheetView>
  </sheetViews>
  <sheetFormatPr defaultColWidth="11.421875" defaultRowHeight="12.75"/>
  <cols>
    <col min="1" max="1" width="48.28125" style="131" customWidth="1"/>
    <col min="2" max="2" width="3.140625" style="131" customWidth="1"/>
    <col min="3" max="3" width="20.00390625" style="309" customWidth="1"/>
    <col min="4" max="4" width="3.140625" style="309" customWidth="1"/>
    <col min="5" max="5" width="20.00390625" style="307" customWidth="1"/>
    <col min="6" max="6" width="3.140625" style="309" customWidth="1"/>
    <col min="7" max="7" width="20.140625" style="307" customWidth="1"/>
    <col min="8" max="8" width="3.140625" style="131" customWidth="1"/>
    <col min="9" max="9" width="20.00390625" style="131" customWidth="1"/>
    <col min="10" max="10" width="2.00390625" style="131" customWidth="1"/>
    <col min="11" max="11" width="11.421875" style="131" customWidth="1"/>
    <col min="12" max="12" width="5.28125" style="131" customWidth="1"/>
    <col min="13" max="14" width="11.421875" style="131" customWidth="1"/>
    <col min="15" max="15" width="6.140625" style="131" customWidth="1"/>
    <col min="16" max="16384" width="11.421875" style="131" customWidth="1"/>
  </cols>
  <sheetData>
    <row r="1" spans="1:9" ht="18" thickBot="1">
      <c r="A1" s="125" t="s">
        <v>57</v>
      </c>
      <c r="B1" s="126"/>
      <c r="C1" s="883" t="s">
        <v>139</v>
      </c>
      <c r="D1" s="884"/>
      <c r="E1" s="884"/>
      <c r="F1" s="884"/>
      <c r="G1" s="884"/>
      <c r="H1" s="884"/>
      <c r="I1" s="885"/>
    </row>
    <row r="2" spans="1:6" ht="12">
      <c r="A2" s="127"/>
      <c r="B2" s="128"/>
      <c r="C2" s="298"/>
      <c r="D2" s="298"/>
      <c r="E2" s="322"/>
      <c r="F2" s="299"/>
    </row>
    <row r="3" spans="1:6" ht="12">
      <c r="A3" s="306" t="s">
        <v>213</v>
      </c>
      <c r="B3" s="128"/>
      <c r="C3" s="298"/>
      <c r="D3" s="298"/>
      <c r="E3" s="308"/>
      <c r="F3" s="299"/>
    </row>
    <row r="4" spans="2:17" ht="12">
      <c r="B4" s="132"/>
      <c r="C4" s="299"/>
      <c r="D4" s="299"/>
      <c r="E4" s="300"/>
      <c r="F4" s="299"/>
      <c r="P4" s="735" t="s">
        <v>398</v>
      </c>
      <c r="Q4" s="811" t="s">
        <v>496</v>
      </c>
    </row>
    <row r="5" spans="1:6" ht="12.75" thickBot="1">
      <c r="A5" s="306" t="s">
        <v>283</v>
      </c>
      <c r="B5" s="133"/>
      <c r="C5" s="301"/>
      <c r="D5" s="301"/>
      <c r="E5" s="302"/>
      <c r="F5" s="299"/>
    </row>
    <row r="6" spans="2:18" ht="12.75" customHeight="1">
      <c r="B6" s="134"/>
      <c r="C6" s="870" t="s">
        <v>216</v>
      </c>
      <c r="D6" s="303"/>
      <c r="E6" s="870" t="s">
        <v>480</v>
      </c>
      <c r="G6" s="870" t="s">
        <v>211</v>
      </c>
      <c r="H6" s="147"/>
      <c r="I6" s="870" t="s">
        <v>212</v>
      </c>
      <c r="P6" s="132">
        <v>2000</v>
      </c>
      <c r="Q6" s="810">
        <v>1892</v>
      </c>
      <c r="R6" s="810" t="s">
        <v>492</v>
      </c>
    </row>
    <row r="7" spans="1:18" ht="27" customHeight="1" thickBot="1">
      <c r="A7" s="135"/>
      <c r="B7" s="136"/>
      <c r="C7" s="871"/>
      <c r="D7" s="303"/>
      <c r="E7" s="871"/>
      <c r="G7" s="871"/>
      <c r="H7" s="310"/>
      <c r="I7" s="871"/>
      <c r="P7" s="132">
        <v>700</v>
      </c>
      <c r="Q7" s="810">
        <v>218</v>
      </c>
      <c r="R7" s="810" t="s">
        <v>493</v>
      </c>
    </row>
    <row r="8" spans="1:18" ht="12.75" thickBot="1">
      <c r="A8" s="135"/>
      <c r="B8" s="137"/>
      <c r="C8" s="304"/>
      <c r="D8" s="304"/>
      <c r="E8" s="305"/>
      <c r="G8" s="305"/>
      <c r="H8" s="138"/>
      <c r="P8" s="132">
        <v>800</v>
      </c>
      <c r="Q8" s="810">
        <v>0</v>
      </c>
      <c r="R8" s="810"/>
    </row>
    <row r="9" spans="1:18" ht="12.75" thickBot="1">
      <c r="A9" s="297" t="s">
        <v>160</v>
      </c>
      <c r="B9" s="134"/>
      <c r="C9" s="415">
        <v>74642</v>
      </c>
      <c r="D9" s="384"/>
      <c r="E9" s="415">
        <f>('MUCEM J4 J471'!I180/1000)-2401-1198</f>
        <v>74889.74240999999</v>
      </c>
      <c r="F9" s="385"/>
      <c r="G9" s="415">
        <v>2000</v>
      </c>
      <c r="H9" s="386"/>
      <c r="I9" s="415">
        <f>C9-(E9+G9)</f>
        <v>-2247.7424099999917</v>
      </c>
      <c r="K9" s="872" t="s">
        <v>452</v>
      </c>
      <c r="L9" s="873"/>
      <c r="M9" s="873"/>
      <c r="N9" s="874"/>
      <c r="P9" s="132">
        <v>300</v>
      </c>
      <c r="Q9" s="810">
        <v>320</v>
      </c>
      <c r="R9" s="810" t="s">
        <v>492</v>
      </c>
    </row>
    <row r="10" spans="1:18" ht="12.75" thickBot="1">
      <c r="A10" s="296"/>
      <c r="B10" s="134"/>
      <c r="C10" s="387"/>
      <c r="D10" s="384"/>
      <c r="E10" s="388"/>
      <c r="F10" s="385"/>
      <c r="G10" s="388"/>
      <c r="H10" s="389"/>
      <c r="I10" s="390"/>
      <c r="K10" s="875"/>
      <c r="L10" s="876"/>
      <c r="M10" s="876"/>
      <c r="N10" s="877"/>
      <c r="P10" s="734"/>
      <c r="Q10" s="810">
        <v>141</v>
      </c>
      <c r="R10" s="810" t="s">
        <v>494</v>
      </c>
    </row>
    <row r="11" spans="1:18" ht="12.75" thickBot="1">
      <c r="A11" s="139" t="s">
        <v>142</v>
      </c>
      <c r="B11" s="140"/>
      <c r="C11" s="391"/>
      <c r="D11" s="391"/>
      <c r="E11" s="392"/>
      <c r="F11" s="393"/>
      <c r="G11" s="392"/>
      <c r="H11" s="394"/>
      <c r="I11" s="390"/>
      <c r="P11" s="131">
        <f>SUM(P6:P10)</f>
        <v>3800</v>
      </c>
      <c r="Q11" s="811">
        <f>SUM(Q6:Q10)</f>
        <v>2571</v>
      </c>
      <c r="R11" s="811"/>
    </row>
    <row r="12" spans="1:18" ht="12">
      <c r="A12" s="292" t="s">
        <v>143</v>
      </c>
      <c r="B12" s="133"/>
      <c r="C12" s="416">
        <v>7027</v>
      </c>
      <c r="D12" s="396"/>
      <c r="E12" s="416">
        <f>'MUCEM J4 J471'!I174/1000</f>
        <v>7763.485600000001</v>
      </c>
      <c r="F12" s="385"/>
      <c r="G12" s="416">
        <v>800</v>
      </c>
      <c r="H12" s="397"/>
      <c r="I12" s="416">
        <f>C12-(E12+G12)</f>
        <v>-1536.4856</v>
      </c>
      <c r="K12" s="872" t="s">
        <v>451</v>
      </c>
      <c r="L12" s="873"/>
      <c r="M12" s="873"/>
      <c r="N12" s="874"/>
      <c r="Q12" s="811"/>
      <c r="R12" s="811"/>
    </row>
    <row r="13" spans="1:18" ht="12">
      <c r="A13" s="293" t="s">
        <v>144</v>
      </c>
      <c r="B13" s="133"/>
      <c r="C13" s="868">
        <v>3859</v>
      </c>
      <c r="D13" s="396"/>
      <c r="E13" s="868">
        <f>'MUCEM J4 J471'!I178/1000-(730756/1000)</f>
        <v>1698.0870400000003</v>
      </c>
      <c r="F13" s="385"/>
      <c r="G13" s="868">
        <v>0</v>
      </c>
      <c r="H13" s="397"/>
      <c r="I13" s="868">
        <f>C13-(E13+G13)</f>
        <v>2160.9129599999997</v>
      </c>
      <c r="K13" s="878"/>
      <c r="L13" s="879"/>
      <c r="M13" s="879"/>
      <c r="N13" s="880"/>
      <c r="Q13" s="811"/>
      <c r="R13" s="811"/>
    </row>
    <row r="14" spans="1:18" ht="12">
      <c r="A14" s="293" t="s">
        <v>145</v>
      </c>
      <c r="B14" s="133"/>
      <c r="C14" s="868"/>
      <c r="D14" s="396"/>
      <c r="E14" s="868"/>
      <c r="F14" s="385"/>
      <c r="G14" s="868"/>
      <c r="H14" s="397"/>
      <c r="I14" s="868"/>
      <c r="K14" s="878"/>
      <c r="L14" s="879"/>
      <c r="M14" s="879"/>
      <c r="N14" s="880"/>
      <c r="Q14" s="811">
        <v>10</v>
      </c>
      <c r="R14" s="811" t="s">
        <v>495</v>
      </c>
    </row>
    <row r="15" spans="1:18" ht="12">
      <c r="A15" s="293" t="s">
        <v>146</v>
      </c>
      <c r="B15" s="133"/>
      <c r="C15" s="868"/>
      <c r="D15" s="396"/>
      <c r="E15" s="868"/>
      <c r="F15" s="385"/>
      <c r="G15" s="868"/>
      <c r="H15" s="397"/>
      <c r="I15" s="868"/>
      <c r="K15" s="878"/>
      <c r="L15" s="879"/>
      <c r="M15" s="879"/>
      <c r="N15" s="880"/>
      <c r="Q15" s="811"/>
      <c r="R15" s="811"/>
    </row>
    <row r="16" spans="1:18" ht="12">
      <c r="A16" s="295" t="s">
        <v>152</v>
      </c>
      <c r="B16" s="142"/>
      <c r="C16" s="868"/>
      <c r="D16" s="396"/>
      <c r="E16" s="868"/>
      <c r="F16" s="385"/>
      <c r="G16" s="868"/>
      <c r="H16" s="397"/>
      <c r="I16" s="868"/>
      <c r="K16" s="875"/>
      <c r="L16" s="876"/>
      <c r="M16" s="876"/>
      <c r="N16" s="877"/>
      <c r="Q16" s="811"/>
      <c r="R16" s="811"/>
    </row>
    <row r="17" spans="1:18" ht="12">
      <c r="A17" s="295" t="s">
        <v>153</v>
      </c>
      <c r="B17" s="142"/>
      <c r="C17" s="868"/>
      <c r="D17" s="396"/>
      <c r="E17" s="868"/>
      <c r="F17" s="385"/>
      <c r="G17" s="868"/>
      <c r="H17" s="397"/>
      <c r="I17" s="868"/>
      <c r="Q17" s="811"/>
      <c r="R17" s="811"/>
    </row>
    <row r="18" spans="1:18" ht="12">
      <c r="A18" s="295" t="s">
        <v>154</v>
      </c>
      <c r="B18" s="142"/>
      <c r="C18" s="868"/>
      <c r="D18" s="396"/>
      <c r="E18" s="868"/>
      <c r="F18" s="385"/>
      <c r="G18" s="868"/>
      <c r="H18" s="397"/>
      <c r="I18" s="868"/>
      <c r="Q18" s="811"/>
      <c r="R18" s="811"/>
    </row>
    <row r="19" spans="1:18" ht="12">
      <c r="A19" s="294" t="s">
        <v>147</v>
      </c>
      <c r="B19" s="142"/>
      <c r="C19" s="869">
        <v>873</v>
      </c>
      <c r="D19" s="396"/>
      <c r="E19" s="869">
        <f>'MUCEM J4 J471'!I176/1000</f>
        <v>1728.9716000000003</v>
      </c>
      <c r="F19" s="385"/>
      <c r="G19" s="869">
        <v>122</v>
      </c>
      <c r="H19" s="397"/>
      <c r="I19" s="869">
        <f>C19-(E19+G19)</f>
        <v>-977.9716000000003</v>
      </c>
      <c r="Q19" s="811"/>
      <c r="R19" s="811"/>
    </row>
    <row r="20" spans="1:18" ht="12">
      <c r="A20" s="294" t="s">
        <v>148</v>
      </c>
      <c r="B20" s="142"/>
      <c r="C20" s="869"/>
      <c r="D20" s="396"/>
      <c r="E20" s="869"/>
      <c r="F20" s="385"/>
      <c r="G20" s="869"/>
      <c r="H20" s="397"/>
      <c r="I20" s="869"/>
      <c r="Q20" s="811">
        <v>40</v>
      </c>
      <c r="R20" s="811" t="s">
        <v>490</v>
      </c>
    </row>
    <row r="21" spans="1:18" ht="12">
      <c r="A21" s="294" t="s">
        <v>149</v>
      </c>
      <c r="B21" s="142"/>
      <c r="C21" s="869"/>
      <c r="D21" s="396"/>
      <c r="E21" s="869"/>
      <c r="F21" s="385"/>
      <c r="G21" s="869"/>
      <c r="H21" s="397"/>
      <c r="I21" s="869"/>
      <c r="Q21" s="811">
        <v>2</v>
      </c>
      <c r="R21" s="811" t="s">
        <v>491</v>
      </c>
    </row>
    <row r="22" spans="1:9" ht="12">
      <c r="A22" s="294" t="s">
        <v>150</v>
      </c>
      <c r="B22" s="142"/>
      <c r="C22" s="869"/>
      <c r="D22" s="396"/>
      <c r="E22" s="869"/>
      <c r="F22" s="385"/>
      <c r="G22" s="869"/>
      <c r="H22" s="397"/>
      <c r="I22" s="869"/>
    </row>
    <row r="23" spans="1:9" ht="12">
      <c r="A23" s="294" t="s">
        <v>35</v>
      </c>
      <c r="B23" s="142"/>
      <c r="C23" s="869"/>
      <c r="D23" s="396"/>
      <c r="E23" s="869"/>
      <c r="F23" s="385"/>
      <c r="G23" s="869"/>
      <c r="H23" s="397"/>
      <c r="I23" s="869"/>
    </row>
    <row r="24" spans="1:9" ht="12">
      <c r="A24" s="294" t="s">
        <v>151</v>
      </c>
      <c r="B24" s="142"/>
      <c r="C24" s="869"/>
      <c r="D24" s="396"/>
      <c r="E24" s="869"/>
      <c r="F24" s="385"/>
      <c r="G24" s="869"/>
      <c r="H24" s="397"/>
      <c r="I24" s="869"/>
    </row>
    <row r="25" spans="1:16" ht="12">
      <c r="A25" s="141" t="s">
        <v>155</v>
      </c>
      <c r="B25" s="142"/>
      <c r="C25" s="417">
        <v>600</v>
      </c>
      <c r="D25" s="396"/>
      <c r="E25" s="422">
        <f>730756/1000</f>
        <v>730.756</v>
      </c>
      <c r="F25" s="385"/>
      <c r="G25" s="422">
        <v>0</v>
      </c>
      <c r="H25" s="397"/>
      <c r="I25" s="423">
        <f>C25-(E25+G25)</f>
        <v>-130.75599999999997</v>
      </c>
      <c r="P25" s="131">
        <v>1410</v>
      </c>
    </row>
    <row r="26" spans="1:9" ht="12.75" thickBot="1">
      <c r="A26" s="141" t="s">
        <v>218</v>
      </c>
      <c r="B26" s="142"/>
      <c r="C26" s="417">
        <v>8719</v>
      </c>
      <c r="D26" s="396"/>
      <c r="E26" s="418">
        <f>2401+1198</f>
        <v>3599</v>
      </c>
      <c r="F26" s="385"/>
      <c r="G26" s="418">
        <v>3500</v>
      </c>
      <c r="H26" s="397"/>
      <c r="I26" s="419">
        <f>C26-(E26+G26)</f>
        <v>1620</v>
      </c>
    </row>
    <row r="27" spans="1:9" ht="12.75" thickBot="1">
      <c r="A27" s="143" t="s">
        <v>156</v>
      </c>
      <c r="B27" s="144"/>
      <c r="C27" s="400">
        <f>SUM(C12:C26)</f>
        <v>21078</v>
      </c>
      <c r="D27" s="401"/>
      <c r="E27" s="402">
        <f>SUM(E12:E26)</f>
        <v>15520.300240000002</v>
      </c>
      <c r="F27" s="385"/>
      <c r="G27" s="402">
        <f>G26+G25+G19+G13+G12</f>
        <v>4422</v>
      </c>
      <c r="H27" s="397"/>
      <c r="I27" s="400">
        <f>SUM(I12:I26)</f>
        <v>1135.6997599999995</v>
      </c>
    </row>
    <row r="28" spans="1:9" ht="12.75" thickBot="1">
      <c r="A28" s="143"/>
      <c r="B28" s="144"/>
      <c r="C28" s="403"/>
      <c r="D28" s="401"/>
      <c r="E28" s="404"/>
      <c r="F28" s="385"/>
      <c r="G28" s="404"/>
      <c r="H28" s="397"/>
      <c r="I28" s="405"/>
    </row>
    <row r="29" spans="1:9" ht="12.75" thickBot="1">
      <c r="A29" s="143" t="s">
        <v>157</v>
      </c>
      <c r="B29" s="144"/>
      <c r="C29" s="406">
        <f>C27+C9</f>
        <v>95720</v>
      </c>
      <c r="D29" s="401"/>
      <c r="E29" s="407">
        <f>E27+E9</f>
        <v>90410.04264999999</v>
      </c>
      <c r="F29" s="385"/>
      <c r="G29" s="407">
        <f>G27+G9</f>
        <v>6422</v>
      </c>
      <c r="H29" s="397"/>
      <c r="I29" s="408">
        <f>I27+I9</f>
        <v>-1112.0426499999921</v>
      </c>
    </row>
    <row r="30" spans="1:17" ht="12.75" thickBot="1">
      <c r="A30" s="143" t="s">
        <v>210</v>
      </c>
      <c r="B30" s="144"/>
      <c r="C30" s="408">
        <v>6703</v>
      </c>
      <c r="D30" s="401"/>
      <c r="E30" s="409">
        <f>'MUCEM J4 J471'!I184/1000</f>
        <v>5070.5879</v>
      </c>
      <c r="F30" s="385"/>
      <c r="G30" s="409">
        <f>(G29*((C30/C29)*100))/100</f>
        <v>449.7144379440033</v>
      </c>
      <c r="H30" s="397"/>
      <c r="I30" s="408">
        <f>C30-(E30+G30)</f>
        <v>1182.6976620559963</v>
      </c>
      <c r="P30" s="131" t="s">
        <v>416</v>
      </c>
      <c r="Q30" s="131">
        <v>75</v>
      </c>
    </row>
    <row r="31" spans="1:17" ht="12.75" thickBot="1">
      <c r="A31" s="145" t="s">
        <v>158</v>
      </c>
      <c r="B31" s="146"/>
      <c r="C31" s="410">
        <f>C30+C29</f>
        <v>102423</v>
      </c>
      <c r="D31" s="411"/>
      <c r="E31" s="410">
        <f>E30+E29</f>
        <v>95480.63054999999</v>
      </c>
      <c r="F31" s="385"/>
      <c r="G31" s="410">
        <f>G30+G29</f>
        <v>6871.714437944003</v>
      </c>
      <c r="H31" s="412"/>
      <c r="I31" s="413">
        <f>I30+I29</f>
        <v>70.65501205600413</v>
      </c>
      <c r="P31" s="131" t="s">
        <v>417</v>
      </c>
      <c r="Q31" s="131">
        <v>70</v>
      </c>
    </row>
    <row r="32" ht="12.75" thickBot="1"/>
    <row r="33" spans="1:13" ht="16.5" thickBot="1">
      <c r="A33" s="881" t="s">
        <v>159</v>
      </c>
      <c r="B33" s="882"/>
      <c r="C33" s="882"/>
      <c r="D33" s="882"/>
      <c r="E33" s="882"/>
      <c r="F33" s="882"/>
      <c r="G33" s="882"/>
      <c r="H33" s="882"/>
      <c r="I33" s="311">
        <v>102423</v>
      </c>
      <c r="M33" s="309"/>
    </row>
    <row r="35" ht="12.75" thickBot="1"/>
    <row r="36" spans="1:9" ht="12.75" thickBot="1">
      <c r="A36" s="320" t="s">
        <v>214</v>
      </c>
      <c r="B36" s="312"/>
      <c r="C36" s="307"/>
      <c r="D36" s="313"/>
      <c r="E36" s="314" t="s">
        <v>162</v>
      </c>
      <c r="I36" s="309"/>
    </row>
    <row r="37" spans="1:9" ht="12.75" thickBot="1">
      <c r="A37" s="321" t="s">
        <v>215</v>
      </c>
      <c r="B37" s="312"/>
      <c r="C37" s="307"/>
      <c r="D37" s="315"/>
      <c r="E37" s="314"/>
      <c r="I37" s="309"/>
    </row>
    <row r="38" spans="1:9" ht="12">
      <c r="A38" s="319"/>
      <c r="B38" s="312"/>
      <c r="C38" s="307"/>
      <c r="D38" s="316"/>
      <c r="E38" s="314" t="s">
        <v>163</v>
      </c>
      <c r="I38" s="309"/>
    </row>
    <row r="39" spans="2:5" ht="12">
      <c r="B39" s="312"/>
      <c r="C39" s="307"/>
      <c r="D39" s="315"/>
      <c r="E39" s="314"/>
    </row>
    <row r="40" spans="2:9" ht="12">
      <c r="B40" s="312"/>
      <c r="C40" s="307"/>
      <c r="D40" s="317"/>
      <c r="E40" s="314" t="s">
        <v>217</v>
      </c>
      <c r="I40" s="309"/>
    </row>
    <row r="41" spans="2:5" ht="12">
      <c r="B41" s="312"/>
      <c r="C41" s="307"/>
      <c r="D41" s="315"/>
      <c r="E41" s="314"/>
    </row>
    <row r="42" spans="2:6" ht="12">
      <c r="B42" s="312"/>
      <c r="C42" s="307"/>
      <c r="D42" s="318"/>
      <c r="E42" s="314" t="s">
        <v>167</v>
      </c>
      <c r="F42" s="307"/>
    </row>
  </sheetData>
  <sheetProtection/>
  <mergeCells count="16">
    <mergeCell ref="K9:N10"/>
    <mergeCell ref="K12:N16"/>
    <mergeCell ref="A33:H33"/>
    <mergeCell ref="C1:I1"/>
    <mergeCell ref="I13:I18"/>
    <mergeCell ref="I19:I24"/>
    <mergeCell ref="I6:I7"/>
    <mergeCell ref="C6:C7"/>
    <mergeCell ref="C13:C18"/>
    <mergeCell ref="C19:C24"/>
    <mergeCell ref="E13:E18"/>
    <mergeCell ref="G13:G18"/>
    <mergeCell ref="G19:G24"/>
    <mergeCell ref="E6:E7"/>
    <mergeCell ref="G6:G7"/>
    <mergeCell ref="E19:E24"/>
  </mergeCells>
  <printOptions/>
  <pageMargins left="0.2" right="0.2" top="1" bottom="0.68" header="0.4921259845" footer="0.4921259845"/>
  <pageSetup horizontalDpi="600" verticalDpi="600" orientation="landscape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B3">
      <selection activeCell="I38" sqref="I38:J42"/>
    </sheetView>
  </sheetViews>
  <sheetFormatPr defaultColWidth="11.421875" defaultRowHeight="12.75"/>
  <cols>
    <col min="1" max="1" width="48.00390625" style="0" customWidth="1"/>
    <col min="3" max="3" width="20.00390625" style="0" customWidth="1"/>
    <col min="4" max="4" width="4.28125" style="0" customWidth="1"/>
    <col min="5" max="5" width="20.00390625" style="0" customWidth="1"/>
    <col min="6" max="6" width="4.28125" style="0" customWidth="1"/>
    <col min="7" max="7" width="20.00390625" style="0" customWidth="1"/>
    <col min="8" max="8" width="4.28125" style="0" customWidth="1"/>
    <col min="9" max="9" width="20.00390625" style="0" customWidth="1"/>
    <col min="10" max="10" width="6.421875" style="0" customWidth="1"/>
  </cols>
  <sheetData>
    <row r="1" spans="1:9" ht="18.75" thickBot="1">
      <c r="A1" s="125" t="s">
        <v>57</v>
      </c>
      <c r="B1" s="126"/>
      <c r="C1" s="849" t="s">
        <v>140</v>
      </c>
      <c r="D1" s="886"/>
      <c r="E1" s="886"/>
      <c r="F1" s="886"/>
      <c r="G1" s="886"/>
      <c r="H1" s="886"/>
      <c r="I1" s="887"/>
    </row>
    <row r="2" spans="1:5" ht="12.75">
      <c r="A2" s="127"/>
      <c r="B2" s="128"/>
      <c r="C2" s="323"/>
      <c r="D2" s="323"/>
      <c r="E2" s="25"/>
    </row>
    <row r="3" spans="1:9" ht="12.75">
      <c r="A3" s="306" t="s">
        <v>213</v>
      </c>
      <c r="B3" s="128"/>
      <c r="C3" s="298"/>
      <c r="D3" s="298"/>
      <c r="E3" s="308"/>
      <c r="F3" s="299"/>
      <c r="G3" s="307"/>
      <c r="H3" s="131"/>
      <c r="I3" s="131"/>
    </row>
    <row r="4" spans="1:9" ht="12.75">
      <c r="A4" s="131"/>
      <c r="B4" s="132"/>
      <c r="C4" s="299"/>
      <c r="D4" s="299"/>
      <c r="E4" s="300"/>
      <c r="F4" s="299"/>
      <c r="G4" s="307"/>
      <c r="H4" s="131"/>
      <c r="I4" s="131"/>
    </row>
    <row r="5" spans="1:9" ht="13.5" thickBot="1">
      <c r="A5" s="306" t="s">
        <v>127</v>
      </c>
      <c r="B5" s="133"/>
      <c r="C5" s="301"/>
      <c r="D5" s="301"/>
      <c r="E5" s="302"/>
      <c r="F5" s="299"/>
      <c r="G5" s="307"/>
      <c r="H5" s="131"/>
      <c r="I5" s="131"/>
    </row>
    <row r="6" spans="1:9" ht="14.25" customHeight="1">
      <c r="A6" s="131"/>
      <c r="B6" s="134"/>
      <c r="C6" s="870" t="s">
        <v>216</v>
      </c>
      <c r="D6" s="303"/>
      <c r="E6" s="870" t="s">
        <v>480</v>
      </c>
      <c r="F6" s="309"/>
      <c r="G6" s="870" t="s">
        <v>211</v>
      </c>
      <c r="H6" s="147"/>
      <c r="I6" s="870" t="s">
        <v>212</v>
      </c>
    </row>
    <row r="7" spans="1:13" ht="24.75" customHeight="1" thickBot="1">
      <c r="A7" s="135"/>
      <c r="B7" s="136"/>
      <c r="C7" s="871"/>
      <c r="D7" s="303"/>
      <c r="E7" s="871"/>
      <c r="F7" s="309"/>
      <c r="G7" s="871"/>
      <c r="H7" s="310"/>
      <c r="I7" s="871"/>
      <c r="M7" s="812" t="s">
        <v>496</v>
      </c>
    </row>
    <row r="8" spans="1:9" ht="12.75" customHeight="1" thickBot="1">
      <c r="A8" s="135"/>
      <c r="B8" s="137"/>
      <c r="C8" s="304"/>
      <c r="D8" s="304"/>
      <c r="E8" s="305"/>
      <c r="F8" s="309"/>
      <c r="G8" s="305"/>
      <c r="H8" s="138"/>
      <c r="I8" s="131"/>
    </row>
    <row r="9" spans="1:14" ht="13.5" thickBot="1">
      <c r="A9" s="297" t="s">
        <v>160</v>
      </c>
      <c r="B9" s="134"/>
      <c r="C9" s="383">
        <v>15040</v>
      </c>
      <c r="D9" s="384"/>
      <c r="E9" s="383">
        <f>'Rénov MH Fort St Jean J472'!I80/1000</f>
        <v>10640.50127</v>
      </c>
      <c r="F9" s="385"/>
      <c r="G9" s="383">
        <v>0</v>
      </c>
      <c r="H9" s="386"/>
      <c r="I9" s="383">
        <f>C9-(E9+G9)</f>
        <v>4399.498729999999</v>
      </c>
      <c r="M9" s="812">
        <v>244</v>
      </c>
      <c r="N9" s="812" t="s">
        <v>497</v>
      </c>
    </row>
    <row r="10" spans="1:14" ht="12.75" customHeight="1">
      <c r="A10" s="296"/>
      <c r="B10" s="134"/>
      <c r="C10" s="387"/>
      <c r="D10" s="384"/>
      <c r="E10" s="388"/>
      <c r="F10" s="385"/>
      <c r="G10" s="388"/>
      <c r="H10" s="389"/>
      <c r="I10" s="390"/>
      <c r="M10" s="812">
        <v>57</v>
      </c>
      <c r="N10" s="812" t="s">
        <v>498</v>
      </c>
    </row>
    <row r="11" spans="1:9" ht="13.5" thickBot="1">
      <c r="A11" s="139" t="s">
        <v>142</v>
      </c>
      <c r="B11" s="140"/>
      <c r="C11" s="391"/>
      <c r="D11" s="391"/>
      <c r="E11" s="392"/>
      <c r="F11" s="393"/>
      <c r="G11" s="392"/>
      <c r="H11" s="394"/>
      <c r="I11" s="390"/>
    </row>
    <row r="12" spans="1:9" ht="12.75">
      <c r="A12" s="292" t="s">
        <v>143</v>
      </c>
      <c r="B12" s="133"/>
      <c r="C12" s="416">
        <v>1432</v>
      </c>
      <c r="D12" s="396"/>
      <c r="E12" s="416">
        <f>'Rénov MH Fort St Jean J472'!I74/1000</f>
        <v>1056.34216</v>
      </c>
      <c r="F12" s="385"/>
      <c r="G12" s="416">
        <v>100</v>
      </c>
      <c r="H12" s="397"/>
      <c r="I12" s="416">
        <f>C12-(E12+G12)</f>
        <v>275.6578400000001</v>
      </c>
    </row>
    <row r="13" spans="1:9" ht="12.75">
      <c r="A13" s="293" t="s">
        <v>144</v>
      </c>
      <c r="B13" s="133"/>
      <c r="C13" s="868">
        <v>444</v>
      </c>
      <c r="D13" s="396"/>
      <c r="E13" s="868">
        <f>'Rénov MH Fort St Jean J472'!I78/1000</f>
        <v>203.2832</v>
      </c>
      <c r="F13" s="385"/>
      <c r="G13" s="868">
        <v>50</v>
      </c>
      <c r="H13" s="397"/>
      <c r="I13" s="868">
        <f>C13-(E13+G13)</f>
        <v>190.7168</v>
      </c>
    </row>
    <row r="14" spans="1:9" ht="12.75">
      <c r="A14" s="293" t="s">
        <v>145</v>
      </c>
      <c r="B14" s="133"/>
      <c r="C14" s="868"/>
      <c r="D14" s="396"/>
      <c r="E14" s="868"/>
      <c r="F14" s="385"/>
      <c r="G14" s="868"/>
      <c r="H14" s="397"/>
      <c r="I14" s="868"/>
    </row>
    <row r="15" spans="1:9" ht="12.75">
      <c r="A15" s="293" t="s">
        <v>146</v>
      </c>
      <c r="B15" s="133"/>
      <c r="C15" s="868"/>
      <c r="D15" s="396"/>
      <c r="E15" s="868"/>
      <c r="F15" s="385"/>
      <c r="G15" s="868"/>
      <c r="H15" s="397"/>
      <c r="I15" s="868"/>
    </row>
    <row r="16" spans="1:9" ht="12.75">
      <c r="A16" s="295" t="s">
        <v>152</v>
      </c>
      <c r="B16" s="142"/>
      <c r="C16" s="868"/>
      <c r="D16" s="396"/>
      <c r="E16" s="868"/>
      <c r="F16" s="385"/>
      <c r="G16" s="868"/>
      <c r="H16" s="397"/>
      <c r="I16" s="868"/>
    </row>
    <row r="17" spans="1:9" ht="12.75">
      <c r="A17" s="295" t="s">
        <v>153</v>
      </c>
      <c r="B17" s="142"/>
      <c r="C17" s="868"/>
      <c r="D17" s="396"/>
      <c r="E17" s="868"/>
      <c r="F17" s="385"/>
      <c r="G17" s="868"/>
      <c r="H17" s="397"/>
      <c r="I17" s="868"/>
    </row>
    <row r="18" spans="1:9" ht="12.75" customHeight="1">
      <c r="A18" s="295" t="s">
        <v>154</v>
      </c>
      <c r="B18" s="142"/>
      <c r="C18" s="868"/>
      <c r="D18" s="396"/>
      <c r="E18" s="868"/>
      <c r="F18" s="385"/>
      <c r="G18" s="868"/>
      <c r="H18" s="397"/>
      <c r="I18" s="868"/>
    </row>
    <row r="19" spans="1:9" ht="12.75">
      <c r="A19" s="294" t="s">
        <v>147</v>
      </c>
      <c r="B19" s="142"/>
      <c r="C19" s="869">
        <v>0</v>
      </c>
      <c r="D19" s="396"/>
      <c r="E19" s="869">
        <f>'Rénov MH Fort St Jean J472'!I76/1000</f>
        <v>151.9874</v>
      </c>
      <c r="F19" s="385"/>
      <c r="G19" s="869">
        <v>0</v>
      </c>
      <c r="H19" s="397"/>
      <c r="I19" s="869">
        <f>C19-(E19+G19)</f>
        <v>-151.9874</v>
      </c>
    </row>
    <row r="20" spans="1:9" ht="12.75">
      <c r="A20" s="294" t="s">
        <v>148</v>
      </c>
      <c r="B20" s="142"/>
      <c r="C20" s="869"/>
      <c r="D20" s="396"/>
      <c r="E20" s="869"/>
      <c r="F20" s="385"/>
      <c r="G20" s="869"/>
      <c r="H20" s="397"/>
      <c r="I20" s="869"/>
    </row>
    <row r="21" spans="1:9" ht="12.75">
      <c r="A21" s="294" t="s">
        <v>149</v>
      </c>
      <c r="B21" s="142"/>
      <c r="C21" s="869"/>
      <c r="D21" s="396"/>
      <c r="E21" s="869"/>
      <c r="F21" s="385"/>
      <c r="G21" s="869"/>
      <c r="H21" s="397"/>
      <c r="I21" s="869"/>
    </row>
    <row r="22" spans="1:9" ht="12.75">
      <c r="A22" s="294" t="s">
        <v>150</v>
      </c>
      <c r="B22" s="142"/>
      <c r="C22" s="869"/>
      <c r="D22" s="396"/>
      <c r="E22" s="869"/>
      <c r="F22" s="385"/>
      <c r="G22" s="869"/>
      <c r="H22" s="397"/>
      <c r="I22" s="869"/>
    </row>
    <row r="23" spans="1:9" ht="12.75">
      <c r="A23" s="294" t="s">
        <v>35</v>
      </c>
      <c r="B23" s="142"/>
      <c r="C23" s="869"/>
      <c r="D23" s="396"/>
      <c r="E23" s="869"/>
      <c r="F23" s="385"/>
      <c r="G23" s="869"/>
      <c r="H23" s="397"/>
      <c r="I23" s="869"/>
    </row>
    <row r="24" spans="1:9" ht="12.75">
      <c r="A24" s="294" t="s">
        <v>151</v>
      </c>
      <c r="B24" s="142"/>
      <c r="C24" s="869"/>
      <c r="D24" s="396"/>
      <c r="E24" s="869"/>
      <c r="F24" s="385"/>
      <c r="G24" s="869"/>
      <c r="H24" s="397"/>
      <c r="I24" s="869"/>
    </row>
    <row r="25" spans="1:12" ht="13.5" thickBot="1">
      <c r="A25" s="141" t="s">
        <v>218</v>
      </c>
      <c r="B25" s="142"/>
      <c r="C25" s="417">
        <v>857</v>
      </c>
      <c r="D25" s="396"/>
      <c r="E25" s="418">
        <v>0</v>
      </c>
      <c r="F25" s="385"/>
      <c r="G25" s="418">
        <v>600</v>
      </c>
      <c r="H25" s="397"/>
      <c r="I25" s="419">
        <f>C25-(E25+G25)</f>
        <v>257</v>
      </c>
      <c r="K25" s="718"/>
      <c r="L25" s="719"/>
    </row>
    <row r="26" spans="1:12" ht="13.5" thickBot="1">
      <c r="A26" s="143" t="s">
        <v>156</v>
      </c>
      <c r="B26" s="144"/>
      <c r="C26" s="400">
        <f>SUM(C12:C25)</f>
        <v>2733</v>
      </c>
      <c r="D26" s="401"/>
      <c r="E26" s="402">
        <f>SUM(E12:E25)</f>
        <v>1411.61276</v>
      </c>
      <c r="F26" s="385"/>
      <c r="G26" s="402">
        <f>G25+G19+G13+G12</f>
        <v>750</v>
      </c>
      <c r="H26" s="397"/>
      <c r="I26" s="400">
        <f>SUM(I12:I25)</f>
        <v>571.3872400000001</v>
      </c>
      <c r="K26" s="720" t="s">
        <v>382</v>
      </c>
      <c r="L26" s="721"/>
    </row>
    <row r="27" spans="1:9" ht="13.5" thickBot="1">
      <c r="A27" s="143"/>
      <c r="B27" s="144"/>
      <c r="C27" s="403"/>
      <c r="D27" s="401"/>
      <c r="E27" s="404"/>
      <c r="F27" s="385"/>
      <c r="G27" s="404"/>
      <c r="H27" s="397"/>
      <c r="I27" s="405"/>
    </row>
    <row r="28" spans="1:9" ht="13.5" thickBot="1">
      <c r="A28" s="143" t="s">
        <v>157</v>
      </c>
      <c r="B28" s="144"/>
      <c r="C28" s="406">
        <f>C26+C9</f>
        <v>17773</v>
      </c>
      <c r="D28" s="401"/>
      <c r="E28" s="407">
        <f>E26+E9</f>
        <v>12052.11403</v>
      </c>
      <c r="F28" s="385"/>
      <c r="G28" s="407">
        <f>G26+G9</f>
        <v>750</v>
      </c>
      <c r="H28" s="397"/>
      <c r="I28" s="408">
        <f>I26+I9</f>
        <v>4970.885969999999</v>
      </c>
    </row>
    <row r="29" spans="1:9" ht="13.5" thickBot="1">
      <c r="A29" s="143" t="s">
        <v>210</v>
      </c>
      <c r="B29" s="144"/>
      <c r="C29" s="408">
        <v>1237</v>
      </c>
      <c r="D29" s="401"/>
      <c r="E29" s="409">
        <f>'Rénov MH Fort St Jean J472'!I84/1000</f>
        <v>298.08807</v>
      </c>
      <c r="F29" s="385"/>
      <c r="G29" s="409">
        <f>((G28*((C29/C28)*100))/100)-71</f>
        <v>-18.800033759072747</v>
      </c>
      <c r="H29" s="397"/>
      <c r="I29" s="408">
        <f>C29-(E29+G29)</f>
        <v>957.7119637590727</v>
      </c>
    </row>
    <row r="30" spans="1:9" ht="13.5" thickBot="1">
      <c r="A30" s="145" t="s">
        <v>158</v>
      </c>
      <c r="B30" s="146"/>
      <c r="C30" s="420">
        <f>C29+C28</f>
        <v>19010</v>
      </c>
      <c r="D30" s="411"/>
      <c r="E30" s="421">
        <f>E29+E28</f>
        <v>12350.2021</v>
      </c>
      <c r="F30" s="385"/>
      <c r="G30" s="421">
        <f>G29+G28</f>
        <v>731.1999662409272</v>
      </c>
      <c r="H30" s="412"/>
      <c r="I30" s="408">
        <f>I29+I28</f>
        <v>5928.5979337590725</v>
      </c>
    </row>
    <row r="31" spans="1:9" ht="13.5" thickBot="1">
      <c r="A31" s="131"/>
      <c r="B31" s="131"/>
      <c r="C31" s="309"/>
      <c r="D31" s="309"/>
      <c r="E31" s="307"/>
      <c r="F31" s="309"/>
      <c r="G31" s="307"/>
      <c r="H31" s="131"/>
      <c r="I31" s="131"/>
    </row>
    <row r="32" spans="1:9" ht="16.5" thickBot="1">
      <c r="A32" s="881" t="s">
        <v>159</v>
      </c>
      <c r="B32" s="882"/>
      <c r="C32" s="882"/>
      <c r="D32" s="882"/>
      <c r="E32" s="882"/>
      <c r="F32" s="882"/>
      <c r="G32" s="882"/>
      <c r="H32" s="882"/>
      <c r="I32" s="311">
        <v>19010</v>
      </c>
    </row>
    <row r="33" spans="1:9" ht="12.75">
      <c r="A33" s="131"/>
      <c r="B33" s="131"/>
      <c r="C33" s="309"/>
      <c r="D33" s="309"/>
      <c r="E33" s="307"/>
      <c r="F33" s="309"/>
      <c r="G33" s="307"/>
      <c r="H33" s="131"/>
      <c r="I33" s="131"/>
    </row>
    <row r="34" spans="1:9" ht="13.5" thickBot="1">
      <c r="A34" s="131"/>
      <c r="B34" s="131"/>
      <c r="C34" s="309"/>
      <c r="D34" s="309"/>
      <c r="E34" s="307"/>
      <c r="F34" s="309"/>
      <c r="G34" s="307"/>
      <c r="H34" s="131"/>
      <c r="I34" s="131"/>
    </row>
    <row r="35" spans="1:9" ht="13.5" thickBot="1">
      <c r="A35" s="320"/>
      <c r="B35" s="312"/>
      <c r="C35" s="307"/>
      <c r="D35" s="313"/>
      <c r="E35" s="314" t="s">
        <v>162</v>
      </c>
      <c r="F35" s="309"/>
      <c r="G35" s="307"/>
      <c r="H35" s="131"/>
      <c r="I35" s="131"/>
    </row>
    <row r="36" spans="1:9" ht="13.5" thickBot="1">
      <c r="A36" s="321"/>
      <c r="B36" s="312"/>
      <c r="C36" s="307"/>
      <c r="D36" s="315"/>
      <c r="E36" s="314"/>
      <c r="F36" s="309"/>
      <c r="G36" s="307"/>
      <c r="H36" s="131"/>
      <c r="I36" s="131"/>
    </row>
    <row r="37" spans="1:9" ht="12.75">
      <c r="A37" s="319"/>
      <c r="B37" s="312"/>
      <c r="C37" s="307"/>
      <c r="D37" s="316"/>
      <c r="E37" s="314" t="s">
        <v>163</v>
      </c>
      <c r="F37" s="309"/>
      <c r="G37" s="307"/>
      <c r="H37" s="131"/>
      <c r="I37" s="309"/>
    </row>
    <row r="38" spans="1:9" ht="12.75">
      <c r="A38" s="131"/>
      <c r="B38" s="312"/>
      <c r="C38" s="307"/>
      <c r="D38" s="315"/>
      <c r="E38" s="314"/>
      <c r="F38" s="309"/>
      <c r="G38" s="307"/>
      <c r="H38" s="131"/>
      <c r="I38" s="131"/>
    </row>
    <row r="39" spans="1:9" ht="12.75">
      <c r="A39" s="131"/>
      <c r="B39" s="312"/>
      <c r="C39" s="307"/>
      <c r="D39" s="317"/>
      <c r="E39" s="314" t="s">
        <v>217</v>
      </c>
      <c r="F39" s="309"/>
      <c r="G39" s="307"/>
      <c r="H39" s="131"/>
      <c r="I39" s="309"/>
    </row>
    <row r="40" spans="1:9" ht="12.75">
      <c r="A40" s="131"/>
      <c r="B40" s="312"/>
      <c r="C40" s="307"/>
      <c r="D40" s="315"/>
      <c r="E40" s="314"/>
      <c r="F40" s="309"/>
      <c r="G40" s="307"/>
      <c r="H40" s="131"/>
      <c r="I40" s="131"/>
    </row>
    <row r="41" spans="1:9" ht="12.75">
      <c r="A41" s="131"/>
      <c r="B41" s="312"/>
      <c r="C41" s="307"/>
      <c r="D41" s="318"/>
      <c r="E41" s="314" t="s">
        <v>167</v>
      </c>
      <c r="F41" s="309"/>
      <c r="G41" s="307"/>
      <c r="H41" s="131"/>
      <c r="I41" s="131"/>
    </row>
    <row r="43" ht="12.75" customHeight="1"/>
  </sheetData>
  <sheetProtection/>
  <mergeCells count="14">
    <mergeCell ref="A32:H32"/>
    <mergeCell ref="C1:I1"/>
    <mergeCell ref="C19:C24"/>
    <mergeCell ref="E19:E24"/>
    <mergeCell ref="G19:G24"/>
    <mergeCell ref="I19:I24"/>
    <mergeCell ref="I6:I7"/>
    <mergeCell ref="C13:C18"/>
    <mergeCell ref="E13:E18"/>
    <mergeCell ref="G13:G18"/>
    <mergeCell ref="I13:I18"/>
    <mergeCell ref="C6:C7"/>
    <mergeCell ref="E6:E7"/>
    <mergeCell ref="G6:G7"/>
  </mergeCells>
  <printOptions/>
  <pageMargins left="0.2" right="0.22" top="1" bottom="1" header="0.4921259845" footer="0.4921259845"/>
  <pageSetup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48.140625" style="0" customWidth="1"/>
    <col min="3" max="3" width="20.00390625" style="0" customWidth="1"/>
    <col min="4" max="4" width="4.28125" style="0" customWidth="1"/>
    <col min="5" max="5" width="20.00390625" style="0" customWidth="1"/>
    <col min="6" max="6" width="4.28125" style="0" customWidth="1"/>
    <col min="7" max="7" width="20.00390625" style="0" customWidth="1"/>
    <col min="8" max="8" width="4.28125" style="0" customWidth="1"/>
    <col min="9" max="9" width="20.00390625" style="0" customWidth="1"/>
  </cols>
  <sheetData>
    <row r="1" spans="1:9" ht="18" thickBot="1">
      <c r="A1" s="125" t="s">
        <v>57</v>
      </c>
      <c r="B1" s="126"/>
      <c r="C1" s="849" t="s">
        <v>285</v>
      </c>
      <c r="D1" s="886"/>
      <c r="E1" s="886"/>
      <c r="F1" s="886"/>
      <c r="G1" s="886"/>
      <c r="H1" s="886"/>
      <c r="I1" s="887"/>
    </row>
    <row r="2" spans="1:9" ht="12.75">
      <c r="A2" s="306" t="s">
        <v>213</v>
      </c>
      <c r="B2" s="128"/>
      <c r="C2" s="298"/>
      <c r="D2" s="298"/>
      <c r="E2" s="308"/>
      <c r="F2" s="299"/>
      <c r="G2" s="307"/>
      <c r="H2" s="131"/>
      <c r="I2" s="131"/>
    </row>
    <row r="3" spans="1:9" ht="12.75">
      <c r="A3" s="131"/>
      <c r="B3" s="132"/>
      <c r="C3" s="299"/>
      <c r="D3" s="299"/>
      <c r="E3" s="300"/>
      <c r="F3" s="299"/>
      <c r="G3" s="307"/>
      <c r="H3" s="131"/>
      <c r="I3" s="131"/>
    </row>
    <row r="4" spans="1:9" ht="13.5" thickBot="1">
      <c r="A4" s="306" t="s">
        <v>126</v>
      </c>
      <c r="B4" s="133"/>
      <c r="C4" s="301"/>
      <c r="D4" s="301"/>
      <c r="E4" s="302"/>
      <c r="F4" s="299"/>
      <c r="G4" s="307"/>
      <c r="H4" s="131"/>
      <c r="I4" s="131"/>
    </row>
    <row r="5" spans="1:9" ht="12.75">
      <c r="A5" s="131"/>
      <c r="B5" s="134"/>
      <c r="C5" s="870" t="s">
        <v>216</v>
      </c>
      <c r="D5" s="303"/>
      <c r="E5" s="870" t="s">
        <v>480</v>
      </c>
      <c r="F5" s="309"/>
      <c r="G5" s="870" t="s">
        <v>211</v>
      </c>
      <c r="H5" s="147"/>
      <c r="I5" s="870" t="s">
        <v>212</v>
      </c>
    </row>
    <row r="6" spans="1:9" ht="25.5" customHeight="1" thickBot="1">
      <c r="A6" s="135"/>
      <c r="B6" s="136"/>
      <c r="C6" s="871"/>
      <c r="D6" s="303"/>
      <c r="E6" s="871"/>
      <c r="F6" s="309"/>
      <c r="G6" s="871"/>
      <c r="H6" s="310"/>
      <c r="I6" s="871"/>
    </row>
    <row r="7" spans="1:9" ht="13.5" thickBot="1">
      <c r="A7" s="135"/>
      <c r="B7" s="137"/>
      <c r="C7" s="304"/>
      <c r="D7" s="304"/>
      <c r="E7" s="305"/>
      <c r="F7" s="309"/>
      <c r="G7" s="305"/>
      <c r="H7" s="138"/>
      <c r="I7" s="131"/>
    </row>
    <row r="8" spans="1:9" ht="13.5" thickBot="1">
      <c r="A8" s="297" t="s">
        <v>160</v>
      </c>
      <c r="B8" s="134"/>
      <c r="C8" s="415">
        <v>6800</v>
      </c>
      <c r="D8" s="384"/>
      <c r="E8" s="415">
        <f>0+'paysagiste J473'!I42/1000</f>
        <v>6757.37733</v>
      </c>
      <c r="F8" s="385"/>
      <c r="G8" s="415">
        <v>0</v>
      </c>
      <c r="H8" s="386"/>
      <c r="I8" s="415">
        <f>C8-(E8+G8)</f>
        <v>42.622669999999744</v>
      </c>
    </row>
    <row r="9" spans="1:9" ht="12.75">
      <c r="A9" s="296"/>
      <c r="B9" s="134"/>
      <c r="C9" s="387"/>
      <c r="D9" s="384"/>
      <c r="E9" s="388"/>
      <c r="F9" s="385"/>
      <c r="G9" s="388"/>
      <c r="H9" s="389"/>
      <c r="I9" s="390"/>
    </row>
    <row r="10" spans="1:9" ht="13.5" thickBot="1">
      <c r="A10" s="139" t="s">
        <v>142</v>
      </c>
      <c r="B10" s="140"/>
      <c r="C10" s="391"/>
      <c r="D10" s="391"/>
      <c r="E10" s="392"/>
      <c r="F10" s="393"/>
      <c r="G10" s="392"/>
      <c r="H10" s="394"/>
      <c r="I10" s="390"/>
    </row>
    <row r="11" spans="1:9" ht="12.75">
      <c r="A11" s="292" t="s">
        <v>143</v>
      </c>
      <c r="B11" s="133"/>
      <c r="C11" s="416">
        <v>921</v>
      </c>
      <c r="D11" s="396"/>
      <c r="E11" s="416">
        <f>'paysagiste J473'!I36/1000</f>
        <v>1090.94796</v>
      </c>
      <c r="F11" s="385"/>
      <c r="G11" s="416">
        <v>0</v>
      </c>
      <c r="H11" s="397"/>
      <c r="I11" s="416">
        <f>C11-(E11+G11)</f>
        <v>-169.94795999999997</v>
      </c>
    </row>
    <row r="12" spans="1:9" ht="12.75">
      <c r="A12" s="293" t="s">
        <v>144</v>
      </c>
      <c r="B12" s="133"/>
      <c r="C12" s="868">
        <v>30</v>
      </c>
      <c r="D12" s="396"/>
      <c r="E12" s="868">
        <f>0+'paysagiste J473'!I40/1000</f>
        <v>30</v>
      </c>
      <c r="F12" s="385"/>
      <c r="G12" s="868">
        <v>0</v>
      </c>
      <c r="H12" s="397"/>
      <c r="I12" s="868">
        <f>C12-(E12+G12)</f>
        <v>0</v>
      </c>
    </row>
    <row r="13" spans="1:9" ht="12.75">
      <c r="A13" s="293" t="s">
        <v>145</v>
      </c>
      <c r="B13" s="133"/>
      <c r="C13" s="868"/>
      <c r="D13" s="396"/>
      <c r="E13" s="868"/>
      <c r="F13" s="385"/>
      <c r="G13" s="868"/>
      <c r="H13" s="397"/>
      <c r="I13" s="868"/>
    </row>
    <row r="14" spans="1:9" ht="12.75">
      <c r="A14" s="293" t="s">
        <v>146</v>
      </c>
      <c r="B14" s="133"/>
      <c r="C14" s="868"/>
      <c r="D14" s="396"/>
      <c r="E14" s="868"/>
      <c r="F14" s="385"/>
      <c r="G14" s="868"/>
      <c r="H14" s="397"/>
      <c r="I14" s="868"/>
    </row>
    <row r="15" spans="1:9" ht="12.75">
      <c r="A15" s="295" t="s">
        <v>152</v>
      </c>
      <c r="B15" s="142"/>
      <c r="C15" s="868"/>
      <c r="D15" s="396"/>
      <c r="E15" s="868"/>
      <c r="F15" s="385"/>
      <c r="G15" s="868"/>
      <c r="H15" s="397"/>
      <c r="I15" s="868"/>
    </row>
    <row r="16" spans="1:9" ht="12.75">
      <c r="A16" s="295" t="s">
        <v>153</v>
      </c>
      <c r="B16" s="142"/>
      <c r="C16" s="868"/>
      <c r="D16" s="396"/>
      <c r="E16" s="868"/>
      <c r="F16" s="385"/>
      <c r="G16" s="868"/>
      <c r="H16" s="397"/>
      <c r="I16" s="868"/>
    </row>
    <row r="17" spans="1:9" ht="12.75">
      <c r="A17" s="295" t="s">
        <v>154</v>
      </c>
      <c r="B17" s="142"/>
      <c r="C17" s="868"/>
      <c r="D17" s="396"/>
      <c r="E17" s="868"/>
      <c r="F17" s="385"/>
      <c r="G17" s="868"/>
      <c r="H17" s="397"/>
      <c r="I17" s="868"/>
    </row>
    <row r="18" spans="1:9" ht="12.75">
      <c r="A18" s="294" t="s">
        <v>147</v>
      </c>
      <c r="B18" s="142"/>
      <c r="C18" s="869">
        <v>169</v>
      </c>
      <c r="D18" s="396"/>
      <c r="E18" s="869">
        <f>'paysagiste J473'!I38/1000</f>
        <v>0</v>
      </c>
      <c r="F18" s="385"/>
      <c r="G18" s="869">
        <v>169</v>
      </c>
      <c r="H18" s="397"/>
      <c r="I18" s="869">
        <f>C18-(E18+G18)</f>
        <v>0</v>
      </c>
    </row>
    <row r="19" spans="1:9" ht="12.75">
      <c r="A19" s="294" t="s">
        <v>148</v>
      </c>
      <c r="B19" s="142"/>
      <c r="C19" s="869"/>
      <c r="D19" s="396"/>
      <c r="E19" s="869"/>
      <c r="F19" s="385"/>
      <c r="G19" s="869"/>
      <c r="H19" s="397"/>
      <c r="I19" s="869"/>
    </row>
    <row r="20" spans="1:9" ht="12.75">
      <c r="A20" s="294" t="s">
        <v>149</v>
      </c>
      <c r="B20" s="142"/>
      <c r="C20" s="869"/>
      <c r="D20" s="396"/>
      <c r="E20" s="869"/>
      <c r="F20" s="385"/>
      <c r="G20" s="869"/>
      <c r="H20" s="397"/>
      <c r="I20" s="869"/>
    </row>
    <row r="21" spans="1:9" ht="12.75">
      <c r="A21" s="294" t="s">
        <v>150</v>
      </c>
      <c r="B21" s="142"/>
      <c r="C21" s="869"/>
      <c r="D21" s="396"/>
      <c r="E21" s="869"/>
      <c r="F21" s="385"/>
      <c r="G21" s="869"/>
      <c r="H21" s="397"/>
      <c r="I21" s="869"/>
    </row>
    <row r="22" spans="1:9" ht="12.75">
      <c r="A22" s="294" t="s">
        <v>35</v>
      </c>
      <c r="B22" s="142"/>
      <c r="C22" s="869"/>
      <c r="D22" s="396"/>
      <c r="E22" s="869"/>
      <c r="F22" s="385"/>
      <c r="G22" s="869"/>
      <c r="H22" s="397"/>
      <c r="I22" s="869"/>
    </row>
    <row r="23" spans="1:9" ht="12.75">
      <c r="A23" s="294" t="s">
        <v>151</v>
      </c>
      <c r="B23" s="142"/>
      <c r="C23" s="869"/>
      <c r="D23" s="396"/>
      <c r="E23" s="869"/>
      <c r="F23" s="385"/>
      <c r="G23" s="869"/>
      <c r="H23" s="397"/>
      <c r="I23" s="869"/>
    </row>
    <row r="24" spans="1:9" ht="13.5" thickBot="1">
      <c r="A24" s="141" t="s">
        <v>218</v>
      </c>
      <c r="B24" s="142"/>
      <c r="C24" s="417">
        <v>0</v>
      </c>
      <c r="D24" s="396"/>
      <c r="E24" s="418">
        <v>0</v>
      </c>
      <c r="F24" s="385"/>
      <c r="G24" s="418">
        <v>1000</v>
      </c>
      <c r="H24" s="397"/>
      <c r="I24" s="419">
        <f>C24-(E24+G24)</f>
        <v>-1000</v>
      </c>
    </row>
    <row r="25" spans="1:9" ht="13.5" thickBot="1">
      <c r="A25" s="143" t="s">
        <v>156</v>
      </c>
      <c r="B25" s="144"/>
      <c r="C25" s="400">
        <f>SUM(C11:C24)</f>
        <v>1120</v>
      </c>
      <c r="D25" s="401"/>
      <c r="E25" s="402">
        <f>SUM(E11:E24)</f>
        <v>1120.94796</v>
      </c>
      <c r="F25" s="385"/>
      <c r="G25" s="402">
        <f>G24+G18+G12+G11</f>
        <v>1169</v>
      </c>
      <c r="H25" s="397"/>
      <c r="I25" s="400">
        <f>SUM(I11:I24)</f>
        <v>-1169.94796</v>
      </c>
    </row>
    <row r="26" spans="1:9" ht="13.5" thickBot="1">
      <c r="A26" s="143"/>
      <c r="B26" s="144"/>
      <c r="C26" s="403"/>
      <c r="D26" s="401"/>
      <c r="E26" s="404"/>
      <c r="F26" s="385"/>
      <c r="G26" s="404"/>
      <c r="H26" s="397"/>
      <c r="I26" s="405"/>
    </row>
    <row r="27" spans="1:9" ht="13.5" thickBot="1">
      <c r="A27" s="143" t="s">
        <v>157</v>
      </c>
      <c r="B27" s="144"/>
      <c r="C27" s="406">
        <f>C25+C8</f>
        <v>7920</v>
      </c>
      <c r="D27" s="401"/>
      <c r="E27" s="407">
        <f>E25+E8</f>
        <v>7878.325290000001</v>
      </c>
      <c r="F27" s="385"/>
      <c r="G27" s="407">
        <f>G25+G8</f>
        <v>1169</v>
      </c>
      <c r="H27" s="397"/>
      <c r="I27" s="408">
        <f>I25+I8</f>
        <v>-1127.3252900000002</v>
      </c>
    </row>
    <row r="28" spans="1:9" ht="13.5" thickBot="1">
      <c r="A28" s="143" t="s">
        <v>210</v>
      </c>
      <c r="B28" s="144"/>
      <c r="C28" s="408">
        <v>580</v>
      </c>
      <c r="D28" s="401"/>
      <c r="E28" s="409">
        <f>'paysagiste J473'!I46/1000</f>
        <v>317.5</v>
      </c>
      <c r="F28" s="385"/>
      <c r="G28" s="409">
        <f>(G27*((C28/C27)*100))/100</f>
        <v>85.60858585858587</v>
      </c>
      <c r="H28" s="397"/>
      <c r="I28" s="408">
        <f>C28-(E28+G28)</f>
        <v>176.89141414141415</v>
      </c>
    </row>
    <row r="29" spans="1:9" ht="13.5" thickBot="1">
      <c r="A29" s="145" t="s">
        <v>158</v>
      </c>
      <c r="B29" s="146"/>
      <c r="C29" s="420">
        <f>C28+C27</f>
        <v>8500</v>
      </c>
      <c r="D29" s="411"/>
      <c r="E29" s="421">
        <f>E28+E27</f>
        <v>8195.82529</v>
      </c>
      <c r="F29" s="385"/>
      <c r="G29" s="421">
        <f>G28+G27</f>
        <v>1254.608585858586</v>
      </c>
      <c r="H29" s="412"/>
      <c r="I29" s="408">
        <f>I28+I27</f>
        <v>-950.4338758585861</v>
      </c>
    </row>
    <row r="30" spans="1:9" ht="13.5" thickBot="1">
      <c r="A30" s="131"/>
      <c r="B30" s="131"/>
      <c r="C30" s="309"/>
      <c r="D30" s="309"/>
      <c r="E30" s="307"/>
      <c r="F30" s="309"/>
      <c r="G30" s="307"/>
      <c r="H30" s="131"/>
      <c r="I30" s="131"/>
    </row>
    <row r="31" spans="1:9" ht="16.5" thickBot="1">
      <c r="A31" s="881" t="s">
        <v>159</v>
      </c>
      <c r="B31" s="882"/>
      <c r="C31" s="882"/>
      <c r="D31" s="882"/>
      <c r="E31" s="882"/>
      <c r="F31" s="882"/>
      <c r="G31" s="882"/>
      <c r="H31" s="882"/>
      <c r="I31" s="311">
        <v>8500</v>
      </c>
    </row>
    <row r="32" spans="1:9" ht="12.75">
      <c r="A32" s="131"/>
      <c r="B32" s="131"/>
      <c r="C32" s="309"/>
      <c r="D32" s="309"/>
      <c r="E32" s="307"/>
      <c r="F32" s="309"/>
      <c r="G32" s="307"/>
      <c r="H32" s="131"/>
      <c r="I32" s="131"/>
    </row>
    <row r="33" spans="1:9" ht="13.5" thickBot="1">
      <c r="A33" s="131"/>
      <c r="B33" s="131"/>
      <c r="C33" s="309"/>
      <c r="D33" s="309"/>
      <c r="E33" s="307"/>
      <c r="F33" s="309"/>
      <c r="G33" s="307"/>
      <c r="H33" s="131"/>
      <c r="I33" s="131"/>
    </row>
    <row r="34" spans="1:9" ht="13.5" thickBot="1">
      <c r="A34" s="320"/>
      <c r="B34" s="312"/>
      <c r="C34" s="307"/>
      <c r="D34" s="313"/>
      <c r="E34" s="314" t="s">
        <v>162</v>
      </c>
      <c r="F34" s="309"/>
      <c r="G34" s="307"/>
      <c r="H34" s="131"/>
      <c r="I34" s="131"/>
    </row>
    <row r="35" spans="1:9" ht="13.5" thickBot="1">
      <c r="A35" s="321"/>
      <c r="B35" s="312"/>
      <c r="C35" s="307"/>
      <c r="D35" s="315"/>
      <c r="E35" s="314"/>
      <c r="F35" s="309"/>
      <c r="G35" s="307"/>
      <c r="H35" s="131"/>
      <c r="I35" s="131"/>
    </row>
    <row r="36" spans="1:9" ht="12.75">
      <c r="A36" s="319"/>
      <c r="B36" s="312"/>
      <c r="C36" s="307"/>
      <c r="D36" s="316"/>
      <c r="E36" s="314" t="s">
        <v>163</v>
      </c>
      <c r="F36" s="309"/>
      <c r="G36" s="307"/>
      <c r="H36" s="131"/>
      <c r="I36" s="309"/>
    </row>
    <row r="37" spans="1:9" ht="12.75">
      <c r="A37" s="131"/>
      <c r="B37" s="312"/>
      <c r="C37" s="307"/>
      <c r="D37" s="315"/>
      <c r="E37" s="314"/>
      <c r="F37" s="309"/>
      <c r="G37" s="307"/>
      <c r="H37" s="131"/>
      <c r="I37" s="131"/>
    </row>
    <row r="38" spans="1:9" ht="12.75">
      <c r="A38" s="131"/>
      <c r="B38" s="312"/>
      <c r="C38" s="307"/>
      <c r="D38" s="317"/>
      <c r="E38" s="314" t="s">
        <v>217</v>
      </c>
      <c r="F38" s="309"/>
      <c r="G38" s="307"/>
      <c r="H38" s="131"/>
      <c r="I38" s="309"/>
    </row>
    <row r="39" spans="1:9" ht="12.75">
      <c r="A39" s="131"/>
      <c r="B39" s="312"/>
      <c r="C39" s="307"/>
      <c r="D39" s="315"/>
      <c r="E39" s="314"/>
      <c r="F39" s="309"/>
      <c r="G39" s="307"/>
      <c r="H39" s="131"/>
      <c r="I39" s="131"/>
    </row>
    <row r="40" spans="1:9" ht="12.75">
      <c r="A40" s="131"/>
      <c r="B40" s="312"/>
      <c r="C40" s="307"/>
      <c r="D40" s="318"/>
      <c r="E40" s="314" t="s">
        <v>167</v>
      </c>
      <c r="F40" s="309"/>
      <c r="G40" s="307"/>
      <c r="H40" s="131"/>
      <c r="I40" s="131"/>
    </row>
  </sheetData>
  <sheetProtection/>
  <mergeCells count="14">
    <mergeCell ref="A31:H31"/>
    <mergeCell ref="C1:I1"/>
    <mergeCell ref="C18:C23"/>
    <mergeCell ref="E18:E23"/>
    <mergeCell ref="G18:G23"/>
    <mergeCell ref="I18:I23"/>
    <mergeCell ref="G5:G6"/>
    <mergeCell ref="I5:I6"/>
    <mergeCell ref="C12:C17"/>
    <mergeCell ref="E12:E17"/>
    <mergeCell ref="G12:G17"/>
    <mergeCell ref="I12:I17"/>
    <mergeCell ref="C5:C6"/>
    <mergeCell ref="E5:E6"/>
  </mergeCells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48.00390625" style="0" customWidth="1"/>
    <col min="2" max="2" width="2.421875" style="0" customWidth="1"/>
    <col min="3" max="4" width="20.00390625" style="0" customWidth="1"/>
    <col min="5" max="5" width="2.140625" style="0" customWidth="1"/>
    <col min="6" max="6" width="20.00390625" style="0" customWidth="1"/>
    <col min="7" max="7" width="2.421875" style="0" customWidth="1"/>
    <col min="8" max="8" width="20.00390625" style="0" customWidth="1"/>
    <col min="9" max="9" width="1.7109375" style="0" customWidth="1"/>
    <col min="10" max="10" width="20.00390625" style="0" customWidth="1"/>
    <col min="11" max="11" width="3.8515625" style="0" customWidth="1"/>
  </cols>
  <sheetData>
    <row r="1" spans="1:10" ht="18.75" thickBot="1">
      <c r="A1" s="324" t="s">
        <v>57</v>
      </c>
      <c r="B1" s="126"/>
      <c r="C1" s="849" t="s">
        <v>240</v>
      </c>
      <c r="D1" s="886"/>
      <c r="E1" s="886"/>
      <c r="F1" s="886"/>
      <c r="G1" s="886"/>
      <c r="H1" s="886"/>
      <c r="I1" s="886"/>
      <c r="J1" s="887"/>
    </row>
    <row r="2" spans="1:10" ht="12.75">
      <c r="A2" s="325"/>
      <c r="B2" s="326"/>
      <c r="C2" s="323"/>
      <c r="D2" s="323"/>
      <c r="E2" s="323"/>
      <c r="F2" s="332"/>
      <c r="G2" s="327"/>
      <c r="H2" s="327"/>
      <c r="I2" s="327"/>
      <c r="J2" s="327"/>
    </row>
    <row r="3" spans="1:10" ht="12.75">
      <c r="A3" s="306" t="s">
        <v>213</v>
      </c>
      <c r="B3" s="128"/>
      <c r="C3" s="298"/>
      <c r="D3" s="298"/>
      <c r="E3" s="298"/>
      <c r="F3" s="308"/>
      <c r="G3" s="299"/>
      <c r="H3" s="307"/>
      <c r="I3" s="131"/>
      <c r="J3" s="131"/>
    </row>
    <row r="4" spans="1:10" ht="12.75" customHeight="1">
      <c r="A4" s="131"/>
      <c r="B4" s="132"/>
      <c r="C4" s="299"/>
      <c r="D4" s="299"/>
      <c r="E4" s="299"/>
      <c r="F4" s="300"/>
      <c r="G4" s="299"/>
      <c r="H4" s="307"/>
      <c r="I4" s="131"/>
      <c r="J4" s="131"/>
    </row>
    <row r="5" s="306" customFormat="1" ht="12.75" customHeight="1" thickBot="1">
      <c r="A5" s="306" t="s">
        <v>128</v>
      </c>
    </row>
    <row r="6" spans="1:10" ht="12.75">
      <c r="A6" s="131" t="s">
        <v>286</v>
      </c>
      <c r="B6" s="134"/>
      <c r="C6" s="870" t="s">
        <v>287</v>
      </c>
      <c r="D6" s="870" t="s">
        <v>288</v>
      </c>
      <c r="E6" s="303"/>
      <c r="F6" s="870" t="s">
        <v>480</v>
      </c>
      <c r="G6" s="309"/>
      <c r="H6" s="870" t="s">
        <v>211</v>
      </c>
      <c r="I6" s="147"/>
      <c r="J6" s="870" t="s">
        <v>212</v>
      </c>
    </row>
    <row r="7" spans="1:10" ht="27.75" customHeight="1" thickBot="1">
      <c r="A7" s="135"/>
      <c r="B7" s="136"/>
      <c r="C7" s="871"/>
      <c r="D7" s="871"/>
      <c r="E7" s="303"/>
      <c r="F7" s="871"/>
      <c r="G7" s="309"/>
      <c r="H7" s="871"/>
      <c r="I7" s="310"/>
      <c r="J7" s="871"/>
    </row>
    <row r="8" spans="1:10" ht="13.5" thickBot="1">
      <c r="A8" s="135"/>
      <c r="B8" s="137"/>
      <c r="C8" s="304"/>
      <c r="D8" s="304"/>
      <c r="E8" s="304"/>
      <c r="F8" s="305"/>
      <c r="G8" s="309"/>
      <c r="H8" s="305"/>
      <c r="I8" s="138"/>
      <c r="J8" s="131"/>
    </row>
    <row r="9" spans="1:10" ht="13.5" thickBot="1">
      <c r="A9" s="297" t="s">
        <v>160</v>
      </c>
      <c r="B9" s="134"/>
      <c r="C9" s="383">
        <v>6000</v>
      </c>
      <c r="D9" s="383">
        <v>3800</v>
      </c>
      <c r="E9" s="384"/>
      <c r="F9" s="383">
        <f>'2nd Oe + Access FSJ J474'!I38/1000</f>
        <v>11668.475</v>
      </c>
      <c r="G9" s="385"/>
      <c r="H9" s="383">
        <v>0</v>
      </c>
      <c r="I9" s="386"/>
      <c r="J9" s="383">
        <f>(C9+D9)-F9-H9</f>
        <v>-1868.4750000000004</v>
      </c>
    </row>
    <row r="10" spans="1:10" ht="12.75">
      <c r="A10" s="296"/>
      <c r="B10" s="134"/>
      <c r="C10" s="387"/>
      <c r="D10" s="387"/>
      <c r="E10" s="384"/>
      <c r="F10" s="388"/>
      <c r="G10" s="385"/>
      <c r="H10" s="388"/>
      <c r="I10" s="389"/>
      <c r="J10" s="390"/>
    </row>
    <row r="11" spans="1:10" ht="13.5" thickBot="1">
      <c r="A11" s="139" t="s">
        <v>142</v>
      </c>
      <c r="B11" s="140"/>
      <c r="C11" s="391"/>
      <c r="D11" s="391"/>
      <c r="E11" s="391"/>
      <c r="F11" s="392"/>
      <c r="G11" s="393"/>
      <c r="H11" s="392"/>
      <c r="I11" s="394"/>
      <c r="J11" s="390"/>
    </row>
    <row r="12" spans="1:10" ht="12.75" customHeight="1">
      <c r="A12" s="292" t="s">
        <v>143</v>
      </c>
      <c r="B12" s="133"/>
      <c r="C12" s="395">
        <v>658</v>
      </c>
      <c r="D12" s="395">
        <v>495</v>
      </c>
      <c r="E12" s="396"/>
      <c r="F12" s="395">
        <f>'2nd Oe + Access FSJ J474'!I32/1000</f>
        <v>0</v>
      </c>
      <c r="G12" s="385"/>
      <c r="H12" s="395">
        <v>0</v>
      </c>
      <c r="I12" s="397"/>
      <c r="J12" s="395">
        <f>(C12+D12)-F12-H12</f>
        <v>1153</v>
      </c>
    </row>
    <row r="13" spans="1:10" ht="12.75">
      <c r="A13" s="293" t="s">
        <v>144</v>
      </c>
      <c r="B13" s="133"/>
      <c r="C13" s="889">
        <v>36</v>
      </c>
      <c r="D13" s="889">
        <v>168</v>
      </c>
      <c r="E13" s="396"/>
      <c r="F13" s="889">
        <f>'2nd Oe + Access FSJ J474'!I36/1000</f>
        <v>95.81606</v>
      </c>
      <c r="G13" s="385"/>
      <c r="H13" s="889">
        <v>112</v>
      </c>
      <c r="I13" s="397"/>
      <c r="J13" s="889">
        <f>(C13+D13)-F13-H13</f>
        <v>-3.816059999999993</v>
      </c>
    </row>
    <row r="14" spans="1:10" ht="12.75">
      <c r="A14" s="293" t="s">
        <v>145</v>
      </c>
      <c r="B14" s="133"/>
      <c r="C14" s="889"/>
      <c r="D14" s="889"/>
      <c r="E14" s="396"/>
      <c r="F14" s="889"/>
      <c r="G14" s="385"/>
      <c r="H14" s="889"/>
      <c r="I14" s="397"/>
      <c r="J14" s="889"/>
    </row>
    <row r="15" spans="1:10" ht="12.75">
      <c r="A15" s="293" t="s">
        <v>146</v>
      </c>
      <c r="B15" s="133"/>
      <c r="C15" s="889"/>
      <c r="D15" s="889"/>
      <c r="E15" s="396"/>
      <c r="F15" s="889"/>
      <c r="G15" s="385"/>
      <c r="H15" s="889"/>
      <c r="I15" s="397"/>
      <c r="J15" s="889"/>
    </row>
    <row r="16" spans="1:10" ht="12.75">
      <c r="A16" s="295" t="s">
        <v>152</v>
      </c>
      <c r="B16" s="142"/>
      <c r="C16" s="889"/>
      <c r="D16" s="889"/>
      <c r="E16" s="396"/>
      <c r="F16" s="889"/>
      <c r="G16" s="385"/>
      <c r="H16" s="889"/>
      <c r="I16" s="397"/>
      <c r="J16" s="889"/>
    </row>
    <row r="17" spans="1:10" ht="12.75">
      <c r="A17" s="295" t="s">
        <v>153</v>
      </c>
      <c r="B17" s="142"/>
      <c r="C17" s="889"/>
      <c r="D17" s="889"/>
      <c r="E17" s="396"/>
      <c r="F17" s="889"/>
      <c r="G17" s="385"/>
      <c r="H17" s="889"/>
      <c r="I17" s="397"/>
      <c r="J17" s="889"/>
    </row>
    <row r="18" spans="1:10" ht="12.75">
      <c r="A18" s="295" t="s">
        <v>154</v>
      </c>
      <c r="B18" s="142"/>
      <c r="C18" s="889"/>
      <c r="D18" s="889"/>
      <c r="E18" s="396"/>
      <c r="F18" s="889"/>
      <c r="G18" s="385"/>
      <c r="H18" s="889"/>
      <c r="I18" s="397"/>
      <c r="J18" s="889"/>
    </row>
    <row r="19" spans="1:10" ht="12.75">
      <c r="A19" s="294" t="s">
        <v>147</v>
      </c>
      <c r="B19" s="142"/>
      <c r="C19" s="888">
        <v>90</v>
      </c>
      <c r="D19" s="888">
        <v>76</v>
      </c>
      <c r="E19" s="396"/>
      <c r="F19" s="888">
        <f>'2nd Oe + Access FSJ J474'!I34/1000</f>
        <v>82.059</v>
      </c>
      <c r="G19" s="385"/>
      <c r="H19" s="888">
        <v>84</v>
      </c>
      <c r="I19" s="397"/>
      <c r="J19" s="888">
        <f>(C19+D19)-F19-H19</f>
        <v>-0.0589999999999975</v>
      </c>
    </row>
    <row r="20" spans="1:10" ht="12.75">
      <c r="A20" s="294" t="s">
        <v>148</v>
      </c>
      <c r="B20" s="142"/>
      <c r="C20" s="888"/>
      <c r="D20" s="888"/>
      <c r="E20" s="396"/>
      <c r="F20" s="888"/>
      <c r="G20" s="385"/>
      <c r="H20" s="888"/>
      <c r="I20" s="397"/>
      <c r="J20" s="888"/>
    </row>
    <row r="21" spans="1:10" ht="12.75">
      <c r="A21" s="294" t="s">
        <v>149</v>
      </c>
      <c r="B21" s="142"/>
      <c r="C21" s="888"/>
      <c r="D21" s="888"/>
      <c r="E21" s="396"/>
      <c r="F21" s="888"/>
      <c r="G21" s="385"/>
      <c r="H21" s="888"/>
      <c r="I21" s="397"/>
      <c r="J21" s="888"/>
    </row>
    <row r="22" spans="1:10" ht="12.75">
      <c r="A22" s="294" t="s">
        <v>150</v>
      </c>
      <c r="B22" s="142"/>
      <c r="C22" s="888"/>
      <c r="D22" s="888"/>
      <c r="E22" s="396"/>
      <c r="F22" s="888"/>
      <c r="G22" s="385"/>
      <c r="H22" s="888"/>
      <c r="I22" s="397"/>
      <c r="J22" s="888"/>
    </row>
    <row r="23" spans="1:10" ht="12.75">
      <c r="A23" s="294" t="s">
        <v>35</v>
      </c>
      <c r="B23" s="142"/>
      <c r="C23" s="888"/>
      <c r="D23" s="888"/>
      <c r="E23" s="396"/>
      <c r="F23" s="888"/>
      <c r="G23" s="385"/>
      <c r="H23" s="888"/>
      <c r="I23" s="397"/>
      <c r="J23" s="888"/>
    </row>
    <row r="24" spans="1:10" ht="12.75">
      <c r="A24" s="294" t="s">
        <v>151</v>
      </c>
      <c r="B24" s="142"/>
      <c r="C24" s="888"/>
      <c r="D24" s="888"/>
      <c r="E24" s="396"/>
      <c r="F24" s="888"/>
      <c r="G24" s="385"/>
      <c r="H24" s="888"/>
      <c r="I24" s="397"/>
      <c r="J24" s="888"/>
    </row>
    <row r="25" spans="1:10" ht="13.5" thickBot="1">
      <c r="A25" s="141" t="s">
        <v>218</v>
      </c>
      <c r="B25" s="142"/>
      <c r="C25" s="398">
        <v>366</v>
      </c>
      <c r="D25" s="414">
        <v>311</v>
      </c>
      <c r="E25" s="396"/>
      <c r="F25" s="399">
        <v>0</v>
      </c>
      <c r="G25" s="385"/>
      <c r="H25" s="399">
        <v>677</v>
      </c>
      <c r="I25" s="397"/>
      <c r="J25" s="398">
        <f>(C25+D25)-F25-H25</f>
        <v>0</v>
      </c>
    </row>
    <row r="26" spans="1:10" ht="13.5" thickBot="1">
      <c r="A26" s="143" t="s">
        <v>156</v>
      </c>
      <c r="B26" s="144"/>
      <c r="C26" s="400">
        <f>SUM(C12:C25)</f>
        <v>1150</v>
      </c>
      <c r="D26" s="400">
        <f>SUM(D12:D25)</f>
        <v>1050</v>
      </c>
      <c r="E26" s="401"/>
      <c r="F26" s="402">
        <f>SUM(F12:F25)</f>
        <v>177.87506</v>
      </c>
      <c r="G26" s="385"/>
      <c r="H26" s="402">
        <f>H25+H19+H13+H12</f>
        <v>873</v>
      </c>
      <c r="I26" s="397"/>
      <c r="J26" s="400">
        <f>SUM(J12:J25)</f>
        <v>1149.12494</v>
      </c>
    </row>
    <row r="27" spans="1:10" ht="13.5" thickBot="1">
      <c r="A27" s="143"/>
      <c r="B27" s="144"/>
      <c r="C27" s="403"/>
      <c r="D27" s="403"/>
      <c r="E27" s="401"/>
      <c r="F27" s="404"/>
      <c r="G27" s="385"/>
      <c r="H27" s="404"/>
      <c r="I27" s="397"/>
      <c r="J27" s="405"/>
    </row>
    <row r="28" spans="1:10" ht="13.5" thickBot="1">
      <c r="A28" s="143" t="s">
        <v>157</v>
      </c>
      <c r="B28" s="144"/>
      <c r="C28" s="406">
        <f>C26+C9</f>
        <v>7150</v>
      </c>
      <c r="D28" s="406">
        <f>D26+D9</f>
        <v>4850</v>
      </c>
      <c r="E28" s="401"/>
      <c r="F28" s="407">
        <f>F26+F9</f>
        <v>11846.35006</v>
      </c>
      <c r="G28" s="385"/>
      <c r="H28" s="407">
        <f>H26+H9</f>
        <v>873</v>
      </c>
      <c r="I28" s="397"/>
      <c r="J28" s="408">
        <f>J26+J9</f>
        <v>-719.3500600000004</v>
      </c>
    </row>
    <row r="29" spans="1:10" ht="13.5" thickBot="1">
      <c r="A29" s="143" t="s">
        <v>210</v>
      </c>
      <c r="B29" s="144"/>
      <c r="C29" s="408">
        <v>450</v>
      </c>
      <c r="D29" s="408">
        <v>150</v>
      </c>
      <c r="E29" s="401"/>
      <c r="F29" s="409">
        <f>'2nd Oe + Access FSJ J474'!I42/1000</f>
        <v>473.8</v>
      </c>
      <c r="G29" s="385"/>
      <c r="H29" s="409">
        <f>(H28*(((C29+D29)/(C28+D28))*100))/100</f>
        <v>43.65</v>
      </c>
      <c r="I29" s="397"/>
      <c r="J29" s="408">
        <f>(C29+D29)-F29-H29</f>
        <v>82.54999999999998</v>
      </c>
    </row>
    <row r="30" spans="1:10" ht="13.5" thickBot="1">
      <c r="A30" s="145" t="s">
        <v>158</v>
      </c>
      <c r="B30" s="146"/>
      <c r="C30" s="410">
        <f>C29+C28</f>
        <v>7600</v>
      </c>
      <c r="D30" s="410">
        <f>D29+D28</f>
        <v>5000</v>
      </c>
      <c r="E30" s="411"/>
      <c r="F30" s="410">
        <f>F29+F28</f>
        <v>12320.15006</v>
      </c>
      <c r="G30" s="385"/>
      <c r="H30" s="410">
        <f>H29+H28</f>
        <v>916.65</v>
      </c>
      <c r="I30" s="412"/>
      <c r="J30" s="413">
        <f>J29+J28</f>
        <v>-636.8000600000005</v>
      </c>
    </row>
    <row r="31" spans="1:10" ht="13.5" thickBot="1">
      <c r="A31" s="131"/>
      <c r="B31" s="131"/>
      <c r="C31" s="309"/>
      <c r="D31" s="309"/>
      <c r="E31" s="309"/>
      <c r="F31" s="307"/>
      <c r="G31" s="309"/>
      <c r="H31" s="307"/>
      <c r="I31" s="131"/>
      <c r="J31" s="131"/>
    </row>
    <row r="32" spans="1:10" ht="16.5" thickBot="1">
      <c r="A32" s="881" t="s">
        <v>159</v>
      </c>
      <c r="B32" s="882"/>
      <c r="C32" s="882"/>
      <c r="D32" s="882"/>
      <c r="E32" s="882"/>
      <c r="F32" s="882"/>
      <c r="G32" s="882"/>
      <c r="H32" s="882"/>
      <c r="I32" s="882"/>
      <c r="J32" s="311" t="s">
        <v>239</v>
      </c>
    </row>
    <row r="33" spans="1:10" ht="12.75">
      <c r="A33" s="131"/>
      <c r="B33" s="131"/>
      <c r="C33" s="309"/>
      <c r="D33" s="309"/>
      <c r="E33" s="309"/>
      <c r="F33" s="307"/>
      <c r="G33" s="309"/>
      <c r="H33" s="307"/>
      <c r="I33" s="131"/>
      <c r="J33" s="131"/>
    </row>
    <row r="34" spans="1:10" ht="12.75">
      <c r="A34" s="131"/>
      <c r="B34" s="131"/>
      <c r="C34" s="309"/>
      <c r="D34" s="309"/>
      <c r="E34" s="309"/>
      <c r="F34" s="307"/>
      <c r="G34" s="309"/>
      <c r="H34" s="307"/>
      <c r="I34" s="131"/>
      <c r="J34" s="131"/>
    </row>
    <row r="35" spans="1:10" ht="12.75">
      <c r="A35" s="890" t="s">
        <v>161</v>
      </c>
      <c r="B35" s="312"/>
      <c r="C35" s="307"/>
      <c r="D35" s="307"/>
      <c r="E35" s="313"/>
      <c r="F35" s="314" t="s">
        <v>162</v>
      </c>
      <c r="G35" s="309"/>
      <c r="H35" s="307"/>
      <c r="I35" s="131"/>
      <c r="J35" s="131"/>
    </row>
    <row r="36" spans="1:10" ht="12.75">
      <c r="A36" s="890"/>
      <c r="B36" s="312"/>
      <c r="C36" s="307"/>
      <c r="D36" s="307"/>
      <c r="E36" s="315"/>
      <c r="F36" s="314"/>
      <c r="G36" s="309"/>
      <c r="H36" s="307"/>
      <c r="I36" s="131"/>
      <c r="J36" s="131"/>
    </row>
    <row r="37" spans="1:10" ht="12.75">
      <c r="A37" s="891"/>
      <c r="B37" s="312"/>
      <c r="C37" s="307"/>
      <c r="D37" s="307"/>
      <c r="E37" s="316"/>
      <c r="F37" s="314" t="s">
        <v>163</v>
      </c>
      <c r="G37" s="309"/>
      <c r="H37" s="307"/>
      <c r="I37" s="131"/>
      <c r="J37" s="309"/>
    </row>
    <row r="38" spans="1:10" ht="12.75">
      <c r="A38" s="891"/>
      <c r="B38" s="312"/>
      <c r="C38" s="307"/>
      <c r="D38" s="307"/>
      <c r="E38" s="315"/>
      <c r="F38" s="314"/>
      <c r="G38" s="309"/>
      <c r="H38" s="307"/>
      <c r="I38" s="131"/>
      <c r="J38" s="131"/>
    </row>
    <row r="39" spans="1:10" ht="12.75">
      <c r="A39" s="131"/>
      <c r="B39" s="312"/>
      <c r="C39" s="307"/>
      <c r="D39" s="307"/>
      <c r="E39" s="317"/>
      <c r="F39" s="314" t="s">
        <v>217</v>
      </c>
      <c r="G39" s="309"/>
      <c r="H39" s="307"/>
      <c r="I39" s="131"/>
      <c r="J39" s="309"/>
    </row>
    <row r="40" spans="1:10" ht="12.75">
      <c r="A40" s="131"/>
      <c r="B40" s="312"/>
      <c r="C40" s="307"/>
      <c r="D40" s="307"/>
      <c r="E40" s="315"/>
      <c r="F40" s="314"/>
      <c r="G40" s="309"/>
      <c r="H40" s="307"/>
      <c r="I40" s="131"/>
      <c r="J40" s="131"/>
    </row>
    <row r="41" spans="1:10" ht="12.75">
      <c r="A41" s="131"/>
      <c r="B41" s="312"/>
      <c r="C41" s="307"/>
      <c r="D41" s="307"/>
      <c r="E41" s="318"/>
      <c r="F41" s="314" t="s">
        <v>167</v>
      </c>
      <c r="G41" s="309"/>
      <c r="H41" s="307"/>
      <c r="I41" s="131"/>
      <c r="J41" s="131"/>
    </row>
  </sheetData>
  <sheetProtection/>
  <mergeCells count="18">
    <mergeCell ref="A35:A38"/>
    <mergeCell ref="C6:C7"/>
    <mergeCell ref="F6:F7"/>
    <mergeCell ref="J6:J7"/>
    <mergeCell ref="H6:H7"/>
    <mergeCell ref="A32:I32"/>
    <mergeCell ref="D13:D18"/>
    <mergeCell ref="D19:D24"/>
    <mergeCell ref="D6:D7"/>
    <mergeCell ref="C1:J1"/>
    <mergeCell ref="C19:C24"/>
    <mergeCell ref="F19:F24"/>
    <mergeCell ref="H19:H24"/>
    <mergeCell ref="J19:J24"/>
    <mergeCell ref="C13:C18"/>
    <mergeCell ref="F13:F18"/>
    <mergeCell ref="H13:H18"/>
    <mergeCell ref="J13:J18"/>
  </mergeCells>
  <printOptions/>
  <pageMargins left="0.2" right="0.2" top="1" bottom="1" header="0.4921259845" footer="0.4921259845"/>
  <pageSetup horizontalDpi="600" verticalDpi="600" orientation="landscape" paperSize="9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75" zoomScaleNormal="75" zoomScalePageLayoutView="0" workbookViewId="0" topLeftCell="B4">
      <selection activeCell="J9" sqref="J9"/>
    </sheetView>
  </sheetViews>
  <sheetFormatPr defaultColWidth="11.421875" defaultRowHeight="12.75"/>
  <cols>
    <col min="1" max="1" width="48.8515625" style="0" customWidth="1"/>
    <col min="2" max="2" width="5.8515625" style="0" customWidth="1"/>
    <col min="3" max="3" width="20.00390625" style="0" customWidth="1"/>
    <col min="4" max="4" width="4.28125" style="0" customWidth="1"/>
    <col min="5" max="5" width="20.00390625" style="0" customWidth="1"/>
    <col min="6" max="6" width="4.28125" style="0" customWidth="1"/>
    <col min="7" max="7" width="20.00390625" style="0" customWidth="1"/>
    <col min="8" max="8" width="4.28125" style="0" customWidth="1"/>
    <col min="9" max="9" width="20.00390625" style="0" customWidth="1"/>
    <col min="10" max="10" width="3.00390625" style="220" customWidth="1"/>
    <col min="11" max="11" width="12.421875" style="0" bestFit="1" customWidth="1"/>
    <col min="12" max="12" width="4.00390625" style="0" customWidth="1"/>
    <col min="13" max="13" width="5.7109375" style="0" customWidth="1"/>
    <col min="16" max="16" width="6.421875" style="0" customWidth="1"/>
    <col min="19" max="19" width="3.7109375" style="0" customWidth="1"/>
    <col min="20" max="20" width="5.28125" style="0" customWidth="1"/>
    <col min="23" max="23" width="5.140625" style="0" customWidth="1"/>
  </cols>
  <sheetData>
    <row r="1" spans="1:10" ht="17.25">
      <c r="A1" s="125" t="s">
        <v>57</v>
      </c>
      <c r="B1" s="126"/>
      <c r="C1" s="892" t="s">
        <v>225</v>
      </c>
      <c r="D1" s="893"/>
      <c r="E1" s="893"/>
      <c r="F1" s="893"/>
      <c r="G1" s="893"/>
      <c r="H1" s="893"/>
      <c r="I1" s="893"/>
      <c r="J1" s="330"/>
    </row>
    <row r="2" spans="1:5" ht="15.75">
      <c r="A2" s="129"/>
      <c r="B2" s="128"/>
      <c r="C2" s="130"/>
      <c r="D2" s="130"/>
      <c r="E2" s="25"/>
    </row>
    <row r="3" spans="1:10" ht="12.75">
      <c r="A3" s="306" t="s">
        <v>213</v>
      </c>
      <c r="B3" s="128"/>
      <c r="C3" s="298"/>
      <c r="D3" s="298"/>
      <c r="E3" s="308"/>
      <c r="F3" s="299"/>
      <c r="G3" s="307"/>
      <c r="H3" s="131"/>
      <c r="I3" s="131"/>
      <c r="J3" s="312"/>
    </row>
    <row r="4" spans="1:10" ht="12.75" customHeight="1">
      <c r="A4" s="131"/>
      <c r="B4" s="132"/>
      <c r="C4" s="299"/>
      <c r="D4" s="299"/>
      <c r="E4" s="300"/>
      <c r="F4" s="299"/>
      <c r="G4" s="307"/>
      <c r="H4" s="131"/>
      <c r="I4" s="131"/>
      <c r="J4" s="312"/>
    </row>
    <row r="5" spans="1:10" ht="13.5" thickBot="1">
      <c r="A5" s="306" t="s">
        <v>234</v>
      </c>
      <c r="B5" s="133"/>
      <c r="C5" s="301"/>
      <c r="D5" s="301"/>
      <c r="E5" s="302"/>
      <c r="F5" s="299"/>
      <c r="G5" s="307"/>
      <c r="H5" s="131"/>
      <c r="I5" s="131"/>
      <c r="J5" s="312"/>
    </row>
    <row r="6" spans="1:10" ht="12.75">
      <c r="A6" s="131"/>
      <c r="B6" s="134"/>
      <c r="C6" s="870" t="s">
        <v>216</v>
      </c>
      <c r="D6" s="303"/>
      <c r="E6" s="870" t="s">
        <v>480</v>
      </c>
      <c r="F6" s="309"/>
      <c r="G6" s="870" t="s">
        <v>211</v>
      </c>
      <c r="H6" s="147"/>
      <c r="I6" s="870" t="s">
        <v>212</v>
      </c>
      <c r="J6" s="752"/>
    </row>
    <row r="7" spans="1:10" ht="27" customHeight="1" thickBot="1">
      <c r="A7" s="135"/>
      <c r="B7" s="136"/>
      <c r="C7" s="871"/>
      <c r="D7" s="303"/>
      <c r="E7" s="871"/>
      <c r="F7" s="309"/>
      <c r="G7" s="871"/>
      <c r="H7" s="310"/>
      <c r="I7" s="871"/>
      <c r="J7" s="752"/>
    </row>
    <row r="8" spans="1:10" ht="13.5" thickBot="1">
      <c r="A8" s="135"/>
      <c r="B8" s="137"/>
      <c r="C8" s="304"/>
      <c r="D8" s="304"/>
      <c r="E8" s="305"/>
      <c r="F8" s="309"/>
      <c r="G8" s="305"/>
      <c r="H8" s="138"/>
      <c r="I8" s="131"/>
      <c r="J8" s="312"/>
    </row>
    <row r="9" spans="1:10" ht="13.5" thickBot="1">
      <c r="A9" s="297" t="s">
        <v>160</v>
      </c>
      <c r="B9" s="134"/>
      <c r="C9" s="383">
        <v>7600</v>
      </c>
      <c r="D9" s="384"/>
      <c r="E9" s="383">
        <f>'Muséo J4 J475'!I47/1000</f>
        <v>5110.78381</v>
      </c>
      <c r="F9" s="385"/>
      <c r="G9" s="383">
        <v>800</v>
      </c>
      <c r="H9" s="386"/>
      <c r="I9" s="383">
        <f>C9-(E9+G9)</f>
        <v>1689.21619</v>
      </c>
      <c r="J9" s="753"/>
    </row>
    <row r="10" spans="1:10" ht="12.75">
      <c r="A10" s="296"/>
      <c r="B10" s="134"/>
      <c r="C10" s="387"/>
      <c r="D10" s="384"/>
      <c r="E10" s="388"/>
      <c r="F10" s="385"/>
      <c r="G10" s="388"/>
      <c r="H10" s="389"/>
      <c r="I10" s="390"/>
      <c r="J10" s="754"/>
    </row>
    <row r="11" spans="1:13" ht="13.5" thickBot="1">
      <c r="A11" s="139" t="s">
        <v>142</v>
      </c>
      <c r="B11" s="140"/>
      <c r="C11" s="391"/>
      <c r="D11" s="391"/>
      <c r="E11" s="392"/>
      <c r="F11" s="393"/>
      <c r="G11" s="392"/>
      <c r="H11" s="394"/>
      <c r="I11" s="390"/>
      <c r="J11" s="754"/>
      <c r="K11" s="749" t="s">
        <v>500</v>
      </c>
      <c r="L11" s="750"/>
      <c r="M11" s="751"/>
    </row>
    <row r="12" spans="1:10" ht="12.75">
      <c r="A12" s="292" t="s">
        <v>143</v>
      </c>
      <c r="B12" s="133"/>
      <c r="C12" s="395">
        <v>1600</v>
      </c>
      <c r="D12" s="396"/>
      <c r="E12" s="395">
        <f>'Muséo J4 J475'!I41/1000</f>
        <v>2286.19148</v>
      </c>
      <c r="F12" s="385"/>
      <c r="G12" s="395">
        <v>0</v>
      </c>
      <c r="H12" s="397"/>
      <c r="I12" s="395">
        <f>C12-(E12+G12)</f>
        <v>-686.19148</v>
      </c>
      <c r="J12" s="755"/>
    </row>
    <row r="13" spans="1:16" ht="12.75">
      <c r="A13" s="293" t="s">
        <v>144</v>
      </c>
      <c r="B13" s="133"/>
      <c r="C13" s="889">
        <v>150</v>
      </c>
      <c r="D13" s="396"/>
      <c r="E13" s="889">
        <f>'Muséo J4 J475'!I45/1000</f>
        <v>30</v>
      </c>
      <c r="F13" s="385"/>
      <c r="G13" s="889">
        <v>120</v>
      </c>
      <c r="H13" s="397"/>
      <c r="I13" s="889">
        <f>C13-(E13+G13)</f>
        <v>0</v>
      </c>
      <c r="J13" s="756"/>
      <c r="P13" s="812" t="s">
        <v>496</v>
      </c>
    </row>
    <row r="14" spans="1:10" ht="12.75">
      <c r="A14" s="293" t="s">
        <v>145</v>
      </c>
      <c r="B14" s="133"/>
      <c r="C14" s="889"/>
      <c r="D14" s="396"/>
      <c r="E14" s="889"/>
      <c r="F14" s="385"/>
      <c r="G14" s="889"/>
      <c r="H14" s="397"/>
      <c r="I14" s="889"/>
      <c r="J14" s="756"/>
    </row>
    <row r="15" spans="1:14" ht="12.75">
      <c r="A15" s="293" t="s">
        <v>146</v>
      </c>
      <c r="B15" s="133"/>
      <c r="C15" s="889"/>
      <c r="D15" s="396"/>
      <c r="E15" s="889"/>
      <c r="F15" s="385"/>
      <c r="G15" s="889"/>
      <c r="H15" s="397"/>
      <c r="I15" s="889"/>
      <c r="J15" s="756"/>
      <c r="K15" s="897" t="s">
        <v>453</v>
      </c>
      <c r="L15" s="898"/>
      <c r="M15" s="898"/>
      <c r="N15" s="899"/>
    </row>
    <row r="16" spans="1:17" ht="12.75">
      <c r="A16" s="295" t="s">
        <v>152</v>
      </c>
      <c r="B16" s="142"/>
      <c r="C16" s="889"/>
      <c r="D16" s="396"/>
      <c r="E16" s="889"/>
      <c r="F16" s="385"/>
      <c r="G16" s="889"/>
      <c r="H16" s="397"/>
      <c r="I16" s="889"/>
      <c r="J16" s="756"/>
      <c r="K16" s="900"/>
      <c r="L16" s="901"/>
      <c r="M16" s="901"/>
      <c r="N16" s="902"/>
      <c r="P16" s="812">
        <v>4</v>
      </c>
      <c r="Q16" s="812" t="s">
        <v>499</v>
      </c>
    </row>
    <row r="17" spans="1:14" ht="12.75">
      <c r="A17" s="295" t="s">
        <v>153</v>
      </c>
      <c r="B17" s="142"/>
      <c r="C17" s="889"/>
      <c r="D17" s="396"/>
      <c r="E17" s="889"/>
      <c r="F17" s="385"/>
      <c r="G17" s="889"/>
      <c r="H17" s="397"/>
      <c r="I17" s="889"/>
      <c r="J17" s="756"/>
      <c r="K17" s="900"/>
      <c r="L17" s="901"/>
      <c r="M17" s="901"/>
      <c r="N17" s="902"/>
    </row>
    <row r="18" spans="1:14" ht="12.75">
      <c r="A18" s="295" t="s">
        <v>154</v>
      </c>
      <c r="B18" s="142"/>
      <c r="C18" s="889"/>
      <c r="D18" s="396"/>
      <c r="E18" s="889"/>
      <c r="F18" s="385"/>
      <c r="G18" s="889"/>
      <c r="H18" s="397"/>
      <c r="I18" s="889"/>
      <c r="J18" s="756"/>
      <c r="K18" s="900"/>
      <c r="L18" s="901"/>
      <c r="M18" s="901"/>
      <c r="N18" s="902"/>
    </row>
    <row r="19" spans="1:14" ht="12.75">
      <c r="A19" s="294" t="s">
        <v>147</v>
      </c>
      <c r="B19" s="142"/>
      <c r="C19" s="894">
        <v>150</v>
      </c>
      <c r="D19" s="396"/>
      <c r="E19" s="888">
        <f>'Muséo J4 J475'!I43/1000</f>
        <v>92.52256</v>
      </c>
      <c r="F19" s="385"/>
      <c r="G19" s="888">
        <f>117-46</f>
        <v>71</v>
      </c>
      <c r="H19" s="397"/>
      <c r="I19" s="888">
        <f>C19-(E19+G19)</f>
        <v>-13.522559999999999</v>
      </c>
      <c r="J19" s="756"/>
      <c r="K19" s="903"/>
      <c r="L19" s="904"/>
      <c r="M19" s="904"/>
      <c r="N19" s="905"/>
    </row>
    <row r="20" spans="1:10" ht="12.75">
      <c r="A20" s="294" t="s">
        <v>148</v>
      </c>
      <c r="B20" s="142"/>
      <c r="C20" s="895"/>
      <c r="D20" s="396"/>
      <c r="E20" s="888"/>
      <c r="F20" s="385"/>
      <c r="G20" s="888"/>
      <c r="H20" s="397"/>
      <c r="I20" s="888"/>
      <c r="J20" s="756"/>
    </row>
    <row r="21" spans="1:10" ht="12.75">
      <c r="A21" s="294" t="s">
        <v>149</v>
      </c>
      <c r="B21" s="142"/>
      <c r="C21" s="895"/>
      <c r="D21" s="396"/>
      <c r="E21" s="888"/>
      <c r="F21" s="385"/>
      <c r="G21" s="888"/>
      <c r="H21" s="397"/>
      <c r="I21" s="888"/>
      <c r="J21" s="756"/>
    </row>
    <row r="22" spans="1:10" ht="12.75">
      <c r="A22" s="294" t="s">
        <v>150</v>
      </c>
      <c r="B22" s="142"/>
      <c r="C22" s="895"/>
      <c r="D22" s="396"/>
      <c r="E22" s="888"/>
      <c r="F22" s="385"/>
      <c r="G22" s="888"/>
      <c r="H22" s="397"/>
      <c r="I22" s="888"/>
      <c r="J22" s="756"/>
    </row>
    <row r="23" spans="1:10" ht="12.75">
      <c r="A23" s="294" t="s">
        <v>35</v>
      </c>
      <c r="B23" s="142"/>
      <c r="C23" s="895"/>
      <c r="D23" s="396"/>
      <c r="E23" s="888"/>
      <c r="F23" s="385"/>
      <c r="G23" s="888"/>
      <c r="H23" s="397"/>
      <c r="I23" s="888"/>
      <c r="J23" s="756"/>
    </row>
    <row r="24" spans="1:10" ht="12.75">
      <c r="A24" s="294" t="s">
        <v>151</v>
      </c>
      <c r="B24" s="142"/>
      <c r="C24" s="896"/>
      <c r="D24" s="396"/>
      <c r="E24" s="888"/>
      <c r="F24" s="385"/>
      <c r="G24" s="888"/>
      <c r="H24" s="397"/>
      <c r="I24" s="888"/>
      <c r="J24" s="756"/>
    </row>
    <row r="25" spans="1:10" ht="13.5" thickBot="1">
      <c r="A25" s="141" t="s">
        <v>218</v>
      </c>
      <c r="B25" s="142"/>
      <c r="C25" s="398">
        <v>872</v>
      </c>
      <c r="D25" s="396"/>
      <c r="E25" s="399">
        <v>0</v>
      </c>
      <c r="F25" s="385"/>
      <c r="G25" s="399">
        <v>610</v>
      </c>
      <c r="H25" s="397"/>
      <c r="I25" s="398">
        <f>C25-(E25+G25)</f>
        <v>262</v>
      </c>
      <c r="J25" s="755"/>
    </row>
    <row r="26" spans="1:10" ht="13.5" thickBot="1">
      <c r="A26" s="143" t="s">
        <v>156</v>
      </c>
      <c r="B26" s="144"/>
      <c r="C26" s="400">
        <f>SUM(C12:C25)</f>
        <v>2772</v>
      </c>
      <c r="D26" s="401"/>
      <c r="E26" s="402">
        <f>SUM(E12:E25)</f>
        <v>2408.71404</v>
      </c>
      <c r="F26" s="385"/>
      <c r="G26" s="402">
        <f>G25+G19+G13+G12</f>
        <v>801</v>
      </c>
      <c r="H26" s="397"/>
      <c r="I26" s="400">
        <f>SUM(I12:I25)</f>
        <v>-437.71403999999995</v>
      </c>
      <c r="J26" s="753"/>
    </row>
    <row r="27" spans="1:10" ht="13.5" thickBot="1">
      <c r="A27" s="143"/>
      <c r="B27" s="144"/>
      <c r="C27" s="403"/>
      <c r="D27" s="401"/>
      <c r="E27" s="404"/>
      <c r="F27" s="385"/>
      <c r="G27" s="404"/>
      <c r="H27" s="397"/>
      <c r="I27" s="405"/>
      <c r="J27" s="757"/>
    </row>
    <row r="28" spans="1:10" ht="13.5" thickBot="1">
      <c r="A28" s="143" t="s">
        <v>157</v>
      </c>
      <c r="B28" s="144"/>
      <c r="C28" s="406">
        <f>C26+C9</f>
        <v>10372</v>
      </c>
      <c r="D28" s="401"/>
      <c r="E28" s="407">
        <f>E26+E9</f>
        <v>7519.49785</v>
      </c>
      <c r="F28" s="385"/>
      <c r="G28" s="407">
        <f>G26+G9</f>
        <v>1601</v>
      </c>
      <c r="H28" s="397"/>
      <c r="I28" s="408">
        <f>I26+I9</f>
        <v>1251.5021500000003</v>
      </c>
      <c r="J28" s="753"/>
    </row>
    <row r="29" spans="1:10" ht="13.5" thickBot="1">
      <c r="A29" s="143" t="s">
        <v>210</v>
      </c>
      <c r="B29" s="144"/>
      <c r="C29" s="408">
        <v>600</v>
      </c>
      <c r="D29" s="401"/>
      <c r="E29" s="409">
        <f>'Muséo J4 J475'!I51/1000</f>
        <v>281</v>
      </c>
      <c r="F29" s="385"/>
      <c r="G29" s="409">
        <f>(G28*((C29/C28)*100))/100</f>
        <v>92.61473197069031</v>
      </c>
      <c r="H29" s="397"/>
      <c r="I29" s="408">
        <f>C29-(E29+G29)</f>
        <v>226.3852680293097</v>
      </c>
      <c r="J29" s="753"/>
    </row>
    <row r="30" spans="1:10" ht="13.5" thickBot="1">
      <c r="A30" s="145" t="s">
        <v>158</v>
      </c>
      <c r="B30" s="146"/>
      <c r="C30" s="410">
        <f>C29+C28</f>
        <v>10972</v>
      </c>
      <c r="D30" s="411"/>
      <c r="E30" s="410">
        <f>E29+E28</f>
        <v>7800.49785</v>
      </c>
      <c r="F30" s="385"/>
      <c r="G30" s="410">
        <f>G29+G28</f>
        <v>1693.6147319706904</v>
      </c>
      <c r="H30" s="412"/>
      <c r="I30" s="413">
        <f>I29+I28</f>
        <v>1477.88741802931</v>
      </c>
      <c r="J30" s="753"/>
    </row>
    <row r="31" spans="1:10" ht="13.5" thickBot="1">
      <c r="A31" s="131"/>
      <c r="B31" s="131"/>
      <c r="C31" s="309"/>
      <c r="D31" s="309"/>
      <c r="E31" s="307"/>
      <c r="F31" s="309"/>
      <c r="G31" s="307"/>
      <c r="H31" s="131"/>
      <c r="I31" s="131"/>
      <c r="J31" s="312"/>
    </row>
    <row r="32" spans="1:10" ht="16.5" thickBot="1">
      <c r="A32" s="881" t="s">
        <v>159</v>
      </c>
      <c r="B32" s="882"/>
      <c r="C32" s="882"/>
      <c r="D32" s="882"/>
      <c r="E32" s="882"/>
      <c r="F32" s="882"/>
      <c r="G32" s="882"/>
      <c r="H32" s="882"/>
      <c r="I32" s="311">
        <v>17737</v>
      </c>
      <c r="J32" s="758"/>
    </row>
    <row r="33" spans="1:10" ht="12.75">
      <c r="A33" s="131"/>
      <c r="B33" s="131"/>
      <c r="C33" s="309"/>
      <c r="D33" s="309"/>
      <c r="E33" s="307"/>
      <c r="F33" s="309"/>
      <c r="G33" s="307"/>
      <c r="H33" s="131"/>
      <c r="I33" s="532" t="s">
        <v>238</v>
      </c>
      <c r="J33" s="759"/>
    </row>
    <row r="34" spans="1:10" ht="12.75">
      <c r="A34" s="131"/>
      <c r="B34" s="131"/>
      <c r="C34" s="309"/>
      <c r="D34" s="309"/>
      <c r="E34" s="307"/>
      <c r="F34" s="309"/>
      <c r="G34" s="307"/>
      <c r="H34" s="131"/>
      <c r="I34" s="131"/>
      <c r="J34" s="312"/>
    </row>
    <row r="35" spans="1:10" ht="12.75">
      <c r="A35" s="501"/>
      <c r="B35" s="312"/>
      <c r="C35" s="307"/>
      <c r="D35" s="313"/>
      <c r="E35" s="314" t="s">
        <v>162</v>
      </c>
      <c r="F35" s="309"/>
      <c r="G35" s="307"/>
      <c r="H35" s="131"/>
      <c r="I35" s="131"/>
      <c r="J35" s="312"/>
    </row>
    <row r="36" spans="1:10" ht="12.75">
      <c r="A36" s="501"/>
      <c r="B36" s="312"/>
      <c r="C36" s="307"/>
      <c r="D36" s="315"/>
      <c r="E36" s="314"/>
      <c r="F36" s="309"/>
      <c r="G36" s="307"/>
      <c r="H36" s="131"/>
      <c r="I36" s="131"/>
      <c r="J36" s="312"/>
    </row>
    <row r="37" spans="1:10" ht="12.75">
      <c r="A37" s="502"/>
      <c r="B37" s="312"/>
      <c r="C37" s="307"/>
      <c r="D37" s="316"/>
      <c r="E37" s="314" t="s">
        <v>163</v>
      </c>
      <c r="F37" s="309"/>
      <c r="G37" s="307"/>
      <c r="H37" s="131"/>
      <c r="I37" s="309"/>
      <c r="J37" s="307"/>
    </row>
    <row r="38" spans="1:10" ht="12.75">
      <c r="A38" s="502"/>
      <c r="B38" s="312"/>
      <c r="C38" s="307"/>
      <c r="D38" s="315"/>
      <c r="E38" s="314"/>
      <c r="F38" s="309"/>
      <c r="G38" s="307"/>
      <c r="H38" s="131"/>
      <c r="I38" s="131"/>
      <c r="J38" s="312"/>
    </row>
    <row r="39" spans="1:10" ht="12.75">
      <c r="A39" s="131"/>
      <c r="B39" s="312"/>
      <c r="C39" s="307"/>
      <c r="D39" s="317"/>
      <c r="E39" s="314" t="s">
        <v>217</v>
      </c>
      <c r="F39" s="309"/>
      <c r="G39" s="307"/>
      <c r="H39" s="131"/>
      <c r="I39" s="309"/>
      <c r="J39" s="307"/>
    </row>
    <row r="40" spans="1:10" ht="12.75">
      <c r="A40" s="131"/>
      <c r="B40" s="312"/>
      <c r="C40" s="307"/>
      <c r="D40" s="315"/>
      <c r="E40" s="314"/>
      <c r="F40" s="309"/>
      <c r="G40" s="307"/>
      <c r="H40" s="131"/>
      <c r="I40" s="131"/>
      <c r="J40" s="312"/>
    </row>
    <row r="41" spans="1:10" ht="12.75">
      <c r="A41" s="131"/>
      <c r="B41" s="312"/>
      <c r="C41" s="307"/>
      <c r="D41" s="318"/>
      <c r="E41" s="314" t="s">
        <v>167</v>
      </c>
      <c r="F41" s="309"/>
      <c r="G41" s="307"/>
      <c r="H41" s="131"/>
      <c r="I41" s="131"/>
      <c r="J41" s="312"/>
    </row>
    <row r="42" spans="1:8" ht="15.75">
      <c r="A42" s="330"/>
      <c r="B42" s="25"/>
      <c r="C42" s="25"/>
      <c r="D42" s="25"/>
      <c r="E42" s="25"/>
      <c r="F42" s="25"/>
      <c r="G42" s="331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5.75">
      <c r="A44" s="330"/>
      <c r="B44" s="25"/>
      <c r="C44" s="25"/>
      <c r="D44" s="25"/>
      <c r="E44" s="25"/>
      <c r="F44" s="25"/>
      <c r="G44" s="331"/>
      <c r="H44" s="25"/>
    </row>
  </sheetData>
  <sheetProtection/>
  <mergeCells count="15">
    <mergeCell ref="A32:H32"/>
    <mergeCell ref="K15:N19"/>
    <mergeCell ref="G13:G18"/>
    <mergeCell ref="I13:I18"/>
    <mergeCell ref="C6:C7"/>
    <mergeCell ref="E6:E7"/>
    <mergeCell ref="C1:I1"/>
    <mergeCell ref="C19:C24"/>
    <mergeCell ref="E19:E24"/>
    <mergeCell ref="G19:G24"/>
    <mergeCell ref="I19:I24"/>
    <mergeCell ref="G6:G7"/>
    <mergeCell ref="I6:I7"/>
    <mergeCell ref="C13:C18"/>
    <mergeCell ref="E13:E18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B1">
      <selection activeCell="J9" sqref="J9"/>
    </sheetView>
  </sheetViews>
  <sheetFormatPr defaultColWidth="11.421875" defaultRowHeight="12.75"/>
  <cols>
    <col min="1" max="1" width="48.8515625" style="0" customWidth="1"/>
    <col min="2" max="2" width="5.8515625" style="0" customWidth="1"/>
    <col min="3" max="3" width="20.00390625" style="0" customWidth="1"/>
    <col min="4" max="4" width="4.28125" style="0" customWidth="1"/>
    <col min="5" max="5" width="20.00390625" style="0" customWidth="1"/>
    <col min="6" max="6" width="4.28125" style="0" customWidth="1"/>
    <col min="7" max="7" width="20.00390625" style="0" customWidth="1"/>
    <col min="8" max="8" width="4.28125" style="0" customWidth="1"/>
    <col min="9" max="9" width="20.00390625" style="0" customWidth="1"/>
    <col min="10" max="10" width="4.140625" style="0" customWidth="1"/>
    <col min="11" max="11" width="4.00390625" style="0" customWidth="1"/>
    <col min="12" max="12" width="5.7109375" style="0" customWidth="1"/>
    <col min="15" max="15" width="6.421875" style="0" customWidth="1"/>
    <col min="18" max="18" width="3.7109375" style="0" customWidth="1"/>
    <col min="19" max="19" width="5.28125" style="0" customWidth="1"/>
    <col min="22" max="22" width="5.140625" style="0" customWidth="1"/>
  </cols>
  <sheetData>
    <row r="1" spans="1:9" ht="17.25">
      <c r="A1" s="125" t="s">
        <v>57</v>
      </c>
      <c r="B1" s="126"/>
      <c r="C1" s="892" t="s">
        <v>237</v>
      </c>
      <c r="D1" s="893"/>
      <c r="E1" s="893"/>
      <c r="F1" s="893"/>
      <c r="G1" s="893"/>
      <c r="H1" s="893"/>
      <c r="I1" s="893"/>
    </row>
    <row r="2" spans="1:5" ht="15.75">
      <c r="A2" s="129"/>
      <c r="B2" s="128"/>
      <c r="C2" s="130"/>
      <c r="D2" s="130"/>
      <c r="E2" s="25"/>
    </row>
    <row r="3" spans="1:9" ht="12.75">
      <c r="A3" s="306" t="s">
        <v>213</v>
      </c>
      <c r="B3" s="128"/>
      <c r="C3" s="298"/>
      <c r="D3" s="298"/>
      <c r="E3" s="308"/>
      <c r="F3" s="299"/>
      <c r="G3" s="307"/>
      <c r="H3" s="131"/>
      <c r="I3" s="131"/>
    </row>
    <row r="4" spans="1:9" ht="12.75" customHeight="1">
      <c r="A4" s="131"/>
      <c r="B4" s="132"/>
      <c r="C4" s="299"/>
      <c r="D4" s="299"/>
      <c r="E4" s="300"/>
      <c r="F4" s="299"/>
      <c r="G4" s="307"/>
      <c r="H4" s="131"/>
      <c r="I4" s="131"/>
    </row>
    <row r="5" spans="1:9" ht="13.5" thickBot="1">
      <c r="A5" s="306" t="s">
        <v>235</v>
      </c>
      <c r="B5" s="133"/>
      <c r="C5" s="301"/>
      <c r="D5" s="301"/>
      <c r="E5" s="302"/>
      <c r="F5" s="299"/>
      <c r="G5" s="307"/>
      <c r="H5" s="131"/>
      <c r="I5" s="131"/>
    </row>
    <row r="6" spans="1:9" ht="12.75">
      <c r="A6" s="131"/>
      <c r="B6" s="134"/>
      <c r="C6" s="870" t="s">
        <v>216</v>
      </c>
      <c r="D6" s="303"/>
      <c r="E6" s="870" t="s">
        <v>480</v>
      </c>
      <c r="F6" s="309"/>
      <c r="G6" s="870" t="s">
        <v>211</v>
      </c>
      <c r="H6" s="147"/>
      <c r="I6" s="870" t="s">
        <v>212</v>
      </c>
    </row>
    <row r="7" spans="1:9" ht="27" customHeight="1" thickBot="1">
      <c r="A7" s="135"/>
      <c r="B7" s="136"/>
      <c r="C7" s="871"/>
      <c r="D7" s="303"/>
      <c r="E7" s="871"/>
      <c r="F7" s="309"/>
      <c r="G7" s="871"/>
      <c r="H7" s="310"/>
      <c r="I7" s="871"/>
    </row>
    <row r="8" spans="1:9" ht="13.5" thickBot="1">
      <c r="A8" s="135"/>
      <c r="B8" s="137"/>
      <c r="C8" s="304"/>
      <c r="D8" s="304"/>
      <c r="E8" s="305"/>
      <c r="F8" s="309"/>
      <c r="G8" s="305"/>
      <c r="H8" s="138"/>
      <c r="I8" s="131"/>
    </row>
    <row r="9" spans="1:14" ht="13.5" thickBot="1">
      <c r="A9" s="297" t="s">
        <v>160</v>
      </c>
      <c r="B9" s="134"/>
      <c r="C9" s="383">
        <v>4500</v>
      </c>
      <c r="D9" s="384"/>
      <c r="E9" s="383">
        <f>'Muséo Fort St Jean J476'!I45/1000</f>
        <v>3849.4755000000005</v>
      </c>
      <c r="F9" s="385"/>
      <c r="G9" s="383">
        <v>300</v>
      </c>
      <c r="H9" s="386"/>
      <c r="I9" s="383">
        <f>C9-(E9+G9)</f>
        <v>350.52449999999953</v>
      </c>
      <c r="N9" s="783"/>
    </row>
    <row r="10" spans="1:9" ht="12.75">
      <c r="A10" s="296"/>
      <c r="B10" s="134"/>
      <c r="C10" s="387"/>
      <c r="D10" s="384"/>
      <c r="E10" s="388"/>
      <c r="F10" s="385"/>
      <c r="G10" s="388"/>
      <c r="H10" s="389"/>
      <c r="I10" s="390"/>
    </row>
    <row r="11" spans="1:9" ht="13.5" thickBot="1">
      <c r="A11" s="139" t="s">
        <v>142</v>
      </c>
      <c r="B11" s="140"/>
      <c r="C11" s="391"/>
      <c r="D11" s="391"/>
      <c r="E11" s="392"/>
      <c r="F11" s="393"/>
      <c r="G11" s="392"/>
      <c r="H11" s="394"/>
      <c r="I11" s="390"/>
    </row>
    <row r="12" spans="1:14" ht="12.75">
      <c r="A12" s="292" t="s">
        <v>143</v>
      </c>
      <c r="B12" s="133"/>
      <c r="C12" s="395">
        <v>765</v>
      </c>
      <c r="D12" s="396"/>
      <c r="E12" s="395">
        <f>'Muséo Fort St Jean J476'!I39/1000</f>
        <v>920.561</v>
      </c>
      <c r="F12" s="385"/>
      <c r="G12" s="395">
        <v>0</v>
      </c>
      <c r="H12" s="397"/>
      <c r="I12" s="395">
        <f>C12-(E12+G12)</f>
        <v>-155.56100000000004</v>
      </c>
      <c r="K12" s="749" t="s">
        <v>501</v>
      </c>
      <c r="L12" s="750"/>
      <c r="M12" s="750"/>
      <c r="N12" s="751"/>
    </row>
    <row r="13" spans="1:9" ht="12.75">
      <c r="A13" s="293" t="s">
        <v>144</v>
      </c>
      <c r="B13" s="133"/>
      <c r="C13" s="889">
        <v>150</v>
      </c>
      <c r="D13" s="396"/>
      <c r="E13" s="889">
        <f>'Muséo Fort St Jean J476'!I43/1000</f>
        <v>10</v>
      </c>
      <c r="F13" s="385"/>
      <c r="G13" s="889">
        <v>140</v>
      </c>
      <c r="H13" s="397"/>
      <c r="I13" s="889">
        <f>C13-(E13+G13)</f>
        <v>0</v>
      </c>
    </row>
    <row r="14" spans="1:9" ht="12.75">
      <c r="A14" s="293" t="s">
        <v>145</v>
      </c>
      <c r="B14" s="133"/>
      <c r="C14" s="889"/>
      <c r="D14" s="396"/>
      <c r="E14" s="889"/>
      <c r="F14" s="385"/>
      <c r="G14" s="889"/>
      <c r="H14" s="397"/>
      <c r="I14" s="889"/>
    </row>
    <row r="15" spans="1:9" ht="12.75">
      <c r="A15" s="293" t="s">
        <v>146</v>
      </c>
      <c r="B15" s="133"/>
      <c r="C15" s="889"/>
      <c r="D15" s="396"/>
      <c r="E15" s="889"/>
      <c r="F15" s="385"/>
      <c r="G15" s="889"/>
      <c r="H15" s="397"/>
      <c r="I15" s="889"/>
    </row>
    <row r="16" spans="1:9" ht="12.75">
      <c r="A16" s="295" t="s">
        <v>152</v>
      </c>
      <c r="B16" s="142"/>
      <c r="C16" s="889"/>
      <c r="D16" s="396"/>
      <c r="E16" s="889"/>
      <c r="F16" s="385"/>
      <c r="G16" s="889"/>
      <c r="H16" s="397"/>
      <c r="I16" s="889"/>
    </row>
    <row r="17" spans="1:9" ht="12.75">
      <c r="A17" s="295" t="s">
        <v>153</v>
      </c>
      <c r="B17" s="142"/>
      <c r="C17" s="889"/>
      <c r="D17" s="396"/>
      <c r="E17" s="889"/>
      <c r="F17" s="385"/>
      <c r="G17" s="889"/>
      <c r="H17" s="397"/>
      <c r="I17" s="889"/>
    </row>
    <row r="18" spans="1:9" ht="12.75">
      <c r="A18" s="295" t="s">
        <v>154</v>
      </c>
      <c r="B18" s="142"/>
      <c r="C18" s="889"/>
      <c r="D18" s="396"/>
      <c r="E18" s="889"/>
      <c r="F18" s="385"/>
      <c r="G18" s="889"/>
      <c r="H18" s="397"/>
      <c r="I18" s="889"/>
    </row>
    <row r="19" spans="1:9" ht="12.75">
      <c r="A19" s="294" t="s">
        <v>147</v>
      </c>
      <c r="B19" s="142"/>
      <c r="C19" s="888">
        <v>150</v>
      </c>
      <c r="D19" s="396"/>
      <c r="E19" s="888">
        <f>'Muséo Fort St Jean J476'!I41/1000</f>
        <v>0</v>
      </c>
      <c r="F19" s="385"/>
      <c r="G19" s="888">
        <v>150</v>
      </c>
      <c r="H19" s="397"/>
      <c r="I19" s="888">
        <f>C19-(E19+G19)</f>
        <v>0</v>
      </c>
    </row>
    <row r="20" spans="1:9" ht="12.75">
      <c r="A20" s="294" t="s">
        <v>148</v>
      </c>
      <c r="B20" s="142"/>
      <c r="C20" s="888"/>
      <c r="D20" s="396"/>
      <c r="E20" s="888"/>
      <c r="F20" s="385"/>
      <c r="G20" s="888"/>
      <c r="H20" s="397"/>
      <c r="I20" s="888"/>
    </row>
    <row r="21" spans="1:9" ht="12.75">
      <c r="A21" s="294" t="s">
        <v>149</v>
      </c>
      <c r="B21" s="142"/>
      <c r="C21" s="888"/>
      <c r="D21" s="396"/>
      <c r="E21" s="888"/>
      <c r="F21" s="385"/>
      <c r="G21" s="888"/>
      <c r="H21" s="397"/>
      <c r="I21" s="888"/>
    </row>
    <row r="22" spans="1:9" ht="12.75">
      <c r="A22" s="294" t="s">
        <v>150</v>
      </c>
      <c r="B22" s="142"/>
      <c r="C22" s="888"/>
      <c r="D22" s="396"/>
      <c r="E22" s="888"/>
      <c r="F22" s="385"/>
      <c r="G22" s="888"/>
      <c r="H22" s="397"/>
      <c r="I22" s="888"/>
    </row>
    <row r="23" spans="1:9" ht="12.75">
      <c r="A23" s="294" t="s">
        <v>35</v>
      </c>
      <c r="B23" s="142"/>
      <c r="C23" s="888"/>
      <c r="D23" s="396"/>
      <c r="E23" s="888"/>
      <c r="F23" s="385"/>
      <c r="G23" s="888"/>
      <c r="H23" s="397"/>
      <c r="I23" s="888"/>
    </row>
    <row r="24" spans="1:9" ht="12.75">
      <c r="A24" s="294" t="s">
        <v>151</v>
      </c>
      <c r="B24" s="142"/>
      <c r="C24" s="888"/>
      <c r="D24" s="396"/>
      <c r="E24" s="888"/>
      <c r="F24" s="385"/>
      <c r="G24" s="888"/>
      <c r="H24" s="397"/>
      <c r="I24" s="888"/>
    </row>
    <row r="25" spans="1:9" ht="13.5" thickBot="1">
      <c r="A25" s="141" t="s">
        <v>218</v>
      </c>
      <c r="B25" s="142"/>
      <c r="C25" s="398">
        <v>850</v>
      </c>
      <c r="D25" s="396"/>
      <c r="E25" s="399">
        <v>0</v>
      </c>
      <c r="F25" s="385"/>
      <c r="G25" s="399">
        <v>850</v>
      </c>
      <c r="H25" s="397"/>
      <c r="I25" s="398">
        <f>C25-(E25+G25)</f>
        <v>0</v>
      </c>
    </row>
    <row r="26" spans="1:9" ht="13.5" thickBot="1">
      <c r="A26" s="143" t="s">
        <v>156</v>
      </c>
      <c r="B26" s="144"/>
      <c r="C26" s="400">
        <f>SUM(C12:C25)</f>
        <v>1915</v>
      </c>
      <c r="D26" s="401"/>
      <c r="E26" s="402">
        <f>SUM(E12:E25)</f>
        <v>930.561</v>
      </c>
      <c r="F26" s="385"/>
      <c r="G26" s="402">
        <f>G25+G19+G13+G12</f>
        <v>1140</v>
      </c>
      <c r="H26" s="397"/>
      <c r="I26" s="400">
        <f>SUM(I12:I25)</f>
        <v>-155.56100000000004</v>
      </c>
    </row>
    <row r="27" spans="1:9" ht="13.5" thickBot="1">
      <c r="A27" s="143"/>
      <c r="B27" s="144"/>
      <c r="C27" s="403"/>
      <c r="D27" s="401"/>
      <c r="E27" s="404"/>
      <c r="F27" s="385"/>
      <c r="G27" s="404"/>
      <c r="H27" s="397"/>
      <c r="I27" s="405"/>
    </row>
    <row r="28" spans="1:9" ht="13.5" thickBot="1">
      <c r="A28" s="143" t="s">
        <v>157</v>
      </c>
      <c r="B28" s="144"/>
      <c r="C28" s="406">
        <f>C26+C9</f>
        <v>6415</v>
      </c>
      <c r="D28" s="401"/>
      <c r="E28" s="407">
        <f>E26+E9</f>
        <v>4780.0365</v>
      </c>
      <c r="F28" s="385"/>
      <c r="G28" s="407">
        <f>G26+G9</f>
        <v>1440</v>
      </c>
      <c r="H28" s="397"/>
      <c r="I28" s="408">
        <f>I26+I9</f>
        <v>194.9634999999995</v>
      </c>
    </row>
    <row r="29" spans="1:9" ht="13.5" thickBot="1">
      <c r="A29" s="143" t="s">
        <v>210</v>
      </c>
      <c r="B29" s="144"/>
      <c r="C29" s="408">
        <v>350</v>
      </c>
      <c r="D29" s="401"/>
      <c r="E29" s="409">
        <f>'Muséo Fort St Jean J476'!I49/1000</f>
        <v>200.5</v>
      </c>
      <c r="F29" s="385"/>
      <c r="G29" s="409">
        <f>(G28*((C29/C28)*100))/100</f>
        <v>78.56586126266562</v>
      </c>
      <c r="H29" s="397"/>
      <c r="I29" s="408">
        <f>C29-(E29+G29)</f>
        <v>70.93413873733437</v>
      </c>
    </row>
    <row r="30" spans="1:9" ht="13.5" thickBot="1">
      <c r="A30" s="145" t="s">
        <v>158</v>
      </c>
      <c r="B30" s="146"/>
      <c r="C30" s="410">
        <f>C29+C28</f>
        <v>6765</v>
      </c>
      <c r="D30" s="411"/>
      <c r="E30" s="410">
        <f>E29+E28</f>
        <v>4980.5365</v>
      </c>
      <c r="F30" s="385"/>
      <c r="G30" s="410">
        <f>G29+G28</f>
        <v>1518.5658612626655</v>
      </c>
      <c r="H30" s="412"/>
      <c r="I30" s="413">
        <f>I29+I28</f>
        <v>265.89763873733386</v>
      </c>
    </row>
    <row r="31" spans="1:9" ht="13.5" thickBot="1">
      <c r="A31" s="131"/>
      <c r="B31" s="131"/>
      <c r="C31" s="309"/>
      <c r="D31" s="309"/>
      <c r="E31" s="307"/>
      <c r="F31" s="309"/>
      <c r="G31" s="307"/>
      <c r="H31" s="131"/>
      <c r="I31" s="131"/>
    </row>
    <row r="32" spans="1:9" ht="16.5" thickBot="1">
      <c r="A32" s="881" t="s">
        <v>159</v>
      </c>
      <c r="B32" s="882"/>
      <c r="C32" s="882"/>
      <c r="D32" s="882"/>
      <c r="E32" s="882"/>
      <c r="F32" s="882"/>
      <c r="G32" s="882"/>
      <c r="H32" s="882"/>
      <c r="I32" s="311">
        <v>17737</v>
      </c>
    </row>
    <row r="33" spans="1:9" ht="12.75">
      <c r="A33" s="131"/>
      <c r="B33" s="131"/>
      <c r="C33" s="309"/>
      <c r="D33" s="309"/>
      <c r="E33" s="307"/>
      <c r="F33" s="309"/>
      <c r="G33" s="307"/>
      <c r="H33" s="131"/>
      <c r="I33" s="532" t="s">
        <v>238</v>
      </c>
    </row>
    <row r="34" spans="1:9" ht="12.75">
      <c r="A34" s="131"/>
      <c r="B34" s="131"/>
      <c r="C34" s="309"/>
      <c r="D34" s="309"/>
      <c r="E34" s="307"/>
      <c r="F34" s="309"/>
      <c r="G34" s="307"/>
      <c r="H34" s="131"/>
      <c r="I34" s="131"/>
    </row>
    <row r="35" spans="1:9" ht="12.75">
      <c r="A35" s="890"/>
      <c r="B35" s="312"/>
      <c r="C35" s="307"/>
      <c r="D35" s="313"/>
      <c r="E35" s="314" t="s">
        <v>162</v>
      </c>
      <c r="F35" s="309"/>
      <c r="G35" s="307"/>
      <c r="H35" s="131"/>
      <c r="I35" s="131"/>
    </row>
    <row r="36" spans="1:9" ht="12.75">
      <c r="A36" s="890"/>
      <c r="B36" s="312"/>
      <c r="C36" s="307"/>
      <c r="D36" s="315"/>
      <c r="E36" s="314"/>
      <c r="F36" s="309"/>
      <c r="G36" s="307"/>
      <c r="H36" s="131"/>
      <c r="I36" s="309"/>
    </row>
    <row r="37" spans="1:9" ht="12.75">
      <c r="A37" s="891"/>
      <c r="B37" s="312"/>
      <c r="C37" s="307"/>
      <c r="D37" s="316"/>
      <c r="E37" s="314" t="s">
        <v>163</v>
      </c>
      <c r="F37" s="309"/>
      <c r="G37" s="307"/>
      <c r="H37" s="131"/>
      <c r="I37" s="309"/>
    </row>
    <row r="38" spans="1:9" ht="12.75">
      <c r="A38" s="891"/>
      <c r="B38" s="312"/>
      <c r="C38" s="307"/>
      <c r="D38" s="315"/>
      <c r="E38" s="314"/>
      <c r="F38" s="309"/>
      <c r="G38" s="307"/>
      <c r="H38" s="131"/>
      <c r="I38" s="503"/>
    </row>
    <row r="39" spans="1:9" ht="12.75">
      <c r="A39" s="131"/>
      <c r="B39" s="312"/>
      <c r="C39" s="307"/>
      <c r="D39" s="317"/>
      <c r="E39" s="314" t="s">
        <v>217</v>
      </c>
      <c r="F39" s="309"/>
      <c r="G39" s="307"/>
      <c r="H39" s="131"/>
      <c r="I39" s="309"/>
    </row>
    <row r="40" spans="1:9" ht="12.75">
      <c r="A40" s="131"/>
      <c r="B40" s="312"/>
      <c r="C40" s="307"/>
      <c r="D40" s="315"/>
      <c r="E40" s="314"/>
      <c r="F40" s="309"/>
      <c r="G40" s="307"/>
      <c r="H40" s="131"/>
      <c r="I40" s="131"/>
    </row>
    <row r="41" spans="1:9" ht="12.75">
      <c r="A41" s="131"/>
      <c r="B41" s="312"/>
      <c r="C41" s="307"/>
      <c r="D41" s="318"/>
      <c r="E41" s="314" t="s">
        <v>167</v>
      </c>
      <c r="F41" s="309"/>
      <c r="G41" s="307"/>
      <c r="H41" s="131"/>
      <c r="I41" s="131"/>
    </row>
    <row r="42" spans="1:8" ht="15.75">
      <c r="A42" s="330"/>
      <c r="B42" s="25"/>
      <c r="C42" s="25"/>
      <c r="D42" s="25"/>
      <c r="E42" s="25"/>
      <c r="F42" s="25"/>
      <c r="G42" s="331"/>
      <c r="H42" s="25"/>
    </row>
    <row r="43" spans="1:8" ht="12.75">
      <c r="A43" s="25"/>
      <c r="B43" s="25"/>
      <c r="C43" s="25"/>
      <c r="D43" s="25"/>
      <c r="E43" s="25"/>
      <c r="F43" s="25"/>
      <c r="G43" s="25"/>
      <c r="H43" s="25"/>
    </row>
    <row r="44" spans="1:8" ht="15.75">
      <c r="A44" s="330"/>
      <c r="B44" s="25"/>
      <c r="C44" s="25"/>
      <c r="D44" s="25"/>
      <c r="E44" s="25"/>
      <c r="F44" s="25"/>
      <c r="G44" s="331"/>
      <c r="H44" s="25"/>
    </row>
  </sheetData>
  <sheetProtection/>
  <mergeCells count="15">
    <mergeCell ref="A32:H32"/>
    <mergeCell ref="G13:G18"/>
    <mergeCell ref="I13:I18"/>
    <mergeCell ref="C6:C7"/>
    <mergeCell ref="E6:E7"/>
    <mergeCell ref="A35:A38"/>
    <mergeCell ref="C1:I1"/>
    <mergeCell ref="C19:C24"/>
    <mergeCell ref="E19:E24"/>
    <mergeCell ref="G19:G24"/>
    <mergeCell ref="I19:I24"/>
    <mergeCell ref="G6:G7"/>
    <mergeCell ref="I6:I7"/>
    <mergeCell ref="C13:C18"/>
    <mergeCell ref="E13:E18"/>
  </mergeCells>
  <printOptions/>
  <pageMargins left="0.75" right="0.75" top="1" bottom="1" header="0.4921259845" footer="0.4921259845"/>
  <pageSetup fitToHeight="1" fitToWidth="1" horizontalDpi="600" verticalDpi="600" orientation="landscape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zoomScalePageLayoutView="0" workbookViewId="0" topLeftCell="A1">
      <selection activeCell="J9" sqref="J9"/>
    </sheetView>
  </sheetViews>
  <sheetFormatPr defaultColWidth="11.421875" defaultRowHeight="12.75"/>
  <cols>
    <col min="6" max="6" width="20.00390625" style="0" customWidth="1"/>
    <col min="7" max="7" width="4.28125" style="0" customWidth="1"/>
    <col min="8" max="8" width="20.00390625" style="121" customWidth="1"/>
    <col min="9" max="9" width="4.28125" style="121" customWidth="1"/>
    <col min="10" max="10" width="20.00390625" style="121" customWidth="1"/>
    <col min="11" max="11" width="4.28125" style="121" customWidth="1"/>
    <col min="12" max="12" width="20.00390625" style="121" customWidth="1"/>
    <col min="13" max="13" width="4.28125" style="121" customWidth="1"/>
    <col min="14" max="14" width="20.00390625" style="121" customWidth="1"/>
  </cols>
  <sheetData>
    <row r="1" spans="1:14" ht="19.5">
      <c r="A1" s="846" t="s">
        <v>57</v>
      </c>
      <c r="B1" s="846"/>
      <c r="C1" s="846"/>
      <c r="D1" s="846"/>
      <c r="E1" s="846"/>
      <c r="F1" s="846"/>
      <c r="G1" s="846"/>
      <c r="H1" s="846"/>
      <c r="I1" s="846"/>
      <c r="J1" s="846"/>
      <c r="K1" s="846"/>
      <c r="L1" s="846"/>
      <c r="M1" s="846"/>
      <c r="N1" s="846"/>
    </row>
    <row r="2" spans="8:10" ht="12.75">
      <c r="H2"/>
      <c r="I2"/>
      <c r="J2"/>
    </row>
    <row r="3" spans="8:10" ht="13.5" thickBot="1">
      <c r="H3"/>
      <c r="I3"/>
      <c r="J3"/>
    </row>
    <row r="4" spans="1:14" ht="15.75" thickBot="1">
      <c r="A4" s="838" t="s">
        <v>137</v>
      </c>
      <c r="B4" s="839"/>
      <c r="C4" s="839"/>
      <c r="D4" s="839"/>
      <c r="E4" s="839"/>
      <c r="F4" s="839"/>
      <c r="G4" s="839"/>
      <c r="H4" s="839"/>
      <c r="I4" s="839"/>
      <c r="J4" s="839"/>
      <c r="K4" s="839"/>
      <c r="L4" s="839"/>
      <c r="M4" s="839"/>
      <c r="N4" s="840"/>
    </row>
    <row r="6" ht="13.5" thickBot="1"/>
    <row r="7" spans="8:14" ht="12.75" customHeight="1">
      <c r="H7" s="908" t="s">
        <v>216</v>
      </c>
      <c r="I7" s="504"/>
      <c r="J7" s="908" t="s">
        <v>480</v>
      </c>
      <c r="K7" s="503"/>
      <c r="L7" s="908" t="s">
        <v>211</v>
      </c>
      <c r="M7" s="147"/>
      <c r="N7" s="908" t="s">
        <v>212</v>
      </c>
    </row>
    <row r="8" spans="8:14" ht="27.75" customHeight="1" thickBot="1">
      <c r="H8" s="909"/>
      <c r="I8" s="504"/>
      <c r="J8" s="909"/>
      <c r="K8" s="503"/>
      <c r="L8" s="909"/>
      <c r="M8" s="505"/>
      <c r="N8" s="909"/>
    </row>
    <row r="9" ht="13.5" thickBot="1"/>
    <row r="10" spans="1:14" ht="16.5" thickBot="1">
      <c r="A10" s="849" t="s">
        <v>139</v>
      </c>
      <c r="B10" s="850"/>
      <c r="C10" s="850"/>
      <c r="D10" s="850"/>
      <c r="E10" s="850"/>
      <c r="F10" s="851"/>
      <c r="H10" s="506">
        <v>102423</v>
      </c>
      <c r="J10" s="513">
        <f>'MuCEM J4 Trx J471'!E31</f>
        <v>95480.63054999999</v>
      </c>
      <c r="K10" s="507"/>
      <c r="L10" s="513">
        <f>'MuCEM J4 Trx J471'!G31</f>
        <v>6871.714437944003</v>
      </c>
      <c r="M10" s="507"/>
      <c r="N10" s="513">
        <f>H10-J10-L10</f>
        <v>70.65501205600958</v>
      </c>
    </row>
    <row r="11" spans="8:14" ht="16.5" thickBot="1">
      <c r="H11" s="507"/>
      <c r="J11" s="507"/>
      <c r="K11" s="507"/>
      <c r="L11" s="507"/>
      <c r="M11" s="507"/>
      <c r="N11" s="507"/>
    </row>
    <row r="12" spans="1:14" ht="16.5" thickBot="1">
      <c r="A12" s="849" t="s">
        <v>225</v>
      </c>
      <c r="B12" s="850"/>
      <c r="C12" s="850"/>
      <c r="D12" s="850"/>
      <c r="E12" s="850"/>
      <c r="F12" s="851"/>
      <c r="H12" s="910">
        <v>17737</v>
      </c>
      <c r="J12" s="906">
        <f>'Muséo sur J4 J475'!E30+'Muséo Fort Saint Jean J476'!E30</f>
        <v>12781.03435</v>
      </c>
      <c r="K12" s="507"/>
      <c r="L12" s="906">
        <f>'Muséo sur J4 J475'!G30+'Muséo Fort Saint Jean J476'!G30</f>
        <v>3212.180593233356</v>
      </c>
      <c r="M12" s="507"/>
      <c r="N12" s="906">
        <f>H12-J12-L12</f>
        <v>1743.7850567666442</v>
      </c>
    </row>
    <row r="13" spans="8:14" ht="16.5" thickBot="1">
      <c r="H13" s="911"/>
      <c r="J13" s="913"/>
      <c r="K13" s="507"/>
      <c r="L13" s="913"/>
      <c r="M13" s="507"/>
      <c r="N13" s="913"/>
    </row>
    <row r="14" spans="1:14" ht="16.5" thickBot="1">
      <c r="A14" s="849" t="s">
        <v>227</v>
      </c>
      <c r="B14" s="850"/>
      <c r="C14" s="850"/>
      <c r="D14" s="850"/>
      <c r="E14" s="850"/>
      <c r="F14" s="851"/>
      <c r="H14" s="912"/>
      <c r="J14" s="907"/>
      <c r="K14" s="507"/>
      <c r="L14" s="907"/>
      <c r="M14" s="507"/>
      <c r="N14" s="907"/>
    </row>
    <row r="15" spans="8:14" ht="16.5" thickBot="1">
      <c r="H15" s="507"/>
      <c r="J15" s="507"/>
      <c r="K15" s="507"/>
      <c r="L15" s="507"/>
      <c r="M15" s="507"/>
      <c r="N15" s="507"/>
    </row>
    <row r="16" spans="1:14" ht="16.5" thickBot="1">
      <c r="A16" s="849" t="s">
        <v>140</v>
      </c>
      <c r="B16" s="850"/>
      <c r="C16" s="850"/>
      <c r="D16" s="850"/>
      <c r="E16" s="850"/>
      <c r="F16" s="851"/>
      <c r="H16" s="506">
        <v>19010</v>
      </c>
      <c r="J16" s="513">
        <f>'Rénov MH Fort St Jean J 472'!E30</f>
        <v>12350.2021</v>
      </c>
      <c r="K16" s="507"/>
      <c r="L16" s="513">
        <f>'Rénov MH Fort St Jean J 472'!G30</f>
        <v>731.1999662409272</v>
      </c>
      <c r="M16" s="507"/>
      <c r="N16" s="513">
        <f>H16-J16-L16</f>
        <v>5928.5979337590725</v>
      </c>
    </row>
    <row r="17" spans="8:14" ht="16.5" thickBot="1">
      <c r="H17" s="507"/>
      <c r="J17" s="507"/>
      <c r="K17" s="507"/>
      <c r="L17" s="507"/>
      <c r="M17" s="507"/>
      <c r="N17" s="507"/>
    </row>
    <row r="18" spans="1:14" ht="29.25" customHeight="1">
      <c r="A18" s="914" t="s">
        <v>224</v>
      </c>
      <c r="B18" s="915"/>
      <c r="C18" s="915"/>
      <c r="D18" s="915"/>
      <c r="E18" s="915"/>
      <c r="F18" s="916"/>
      <c r="H18" s="512" t="s">
        <v>284</v>
      </c>
      <c r="J18" s="906">
        <f>'Trx SO + AccesFort St Jean J474'!F30</f>
        <v>12320.15006</v>
      </c>
      <c r="K18" s="507"/>
      <c r="L18" s="906">
        <f>'Trx SO + AccesFort St Jean J474'!H30</f>
        <v>916.65</v>
      </c>
      <c r="M18" s="507"/>
      <c r="N18" s="906">
        <f>H19-J18-L18</f>
        <v>-636.8000599999999</v>
      </c>
    </row>
    <row r="19" spans="1:14" ht="23.25" customHeight="1" thickBot="1">
      <c r="A19" s="917"/>
      <c r="B19" s="918"/>
      <c r="C19" s="918"/>
      <c r="D19" s="918"/>
      <c r="E19" s="918"/>
      <c r="F19" s="919"/>
      <c r="H19" s="508">
        <v>12600</v>
      </c>
      <c r="J19" s="907"/>
      <c r="K19" s="507"/>
      <c r="L19" s="907"/>
      <c r="M19" s="507"/>
      <c r="N19" s="907"/>
    </row>
    <row r="20" spans="8:14" ht="16.5" thickBot="1">
      <c r="H20" s="507"/>
      <c r="J20" s="507"/>
      <c r="K20" s="507"/>
      <c r="L20" s="507"/>
      <c r="M20" s="507"/>
      <c r="N20" s="507"/>
    </row>
    <row r="21" spans="1:14" ht="16.5" thickBot="1">
      <c r="A21" s="849" t="s">
        <v>231</v>
      </c>
      <c r="B21" s="850"/>
      <c r="C21" s="850"/>
      <c r="D21" s="850"/>
      <c r="E21" s="850"/>
      <c r="F21" s="851"/>
      <c r="H21" s="506">
        <v>8500</v>
      </c>
      <c r="J21" s="513">
        <f>'FSJ Paysage J473'!E29</f>
        <v>8195.82529</v>
      </c>
      <c r="K21" s="507"/>
      <c r="L21" s="513">
        <f>'FSJ Paysage J473'!G29</f>
        <v>1254.608585858586</v>
      </c>
      <c r="M21" s="507"/>
      <c r="N21" s="513">
        <f>H21-J21-L21</f>
        <v>-950.4338758585866</v>
      </c>
    </row>
    <row r="22" spans="8:14" ht="15.75">
      <c r="H22" s="509"/>
      <c r="J22" s="507"/>
      <c r="K22" s="507"/>
      <c r="L22" s="507"/>
      <c r="M22" s="507"/>
      <c r="N22" s="507"/>
    </row>
    <row r="23" spans="8:14" ht="16.5" thickBot="1">
      <c r="H23" s="509"/>
      <c r="J23" s="507"/>
      <c r="K23" s="507"/>
      <c r="L23" s="507"/>
      <c r="M23" s="507"/>
      <c r="N23" s="507"/>
    </row>
    <row r="24" spans="6:14" ht="16.5" thickBot="1">
      <c r="F24" s="511" t="s">
        <v>0</v>
      </c>
      <c r="H24" s="510">
        <v>160270</v>
      </c>
      <c r="J24" s="510">
        <f>SUM(J10:J21)</f>
        <v>141127.84235</v>
      </c>
      <c r="K24" s="507"/>
      <c r="L24" s="510">
        <f>SUM(L10:L21)</f>
        <v>12986.353583276872</v>
      </c>
      <c r="M24" s="507"/>
      <c r="N24" s="510">
        <f>SUM(N10:N21)</f>
        <v>6155.804066723141</v>
      </c>
    </row>
    <row r="34" ht="12.75">
      <c r="J34" s="514"/>
    </row>
  </sheetData>
  <sheetProtection/>
  <mergeCells count="19">
    <mergeCell ref="A21:F21"/>
    <mergeCell ref="J7:J8"/>
    <mergeCell ref="L7:L8"/>
    <mergeCell ref="A18:F19"/>
    <mergeCell ref="J18:J19"/>
    <mergeCell ref="L18:L19"/>
    <mergeCell ref="A10:F10"/>
    <mergeCell ref="A12:F12"/>
    <mergeCell ref="A14:F14"/>
    <mergeCell ref="A16:F16"/>
    <mergeCell ref="N18:N19"/>
    <mergeCell ref="N7:N8"/>
    <mergeCell ref="H12:H14"/>
    <mergeCell ref="A1:N1"/>
    <mergeCell ref="A4:N4"/>
    <mergeCell ref="J12:J14"/>
    <mergeCell ref="L12:L14"/>
    <mergeCell ref="N12:N14"/>
    <mergeCell ref="H7:H8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87"/>
  <sheetViews>
    <sheetView zoomScale="70" zoomScaleNormal="70" zoomScaleSheetLayoutView="70" zoomScalePageLayoutView="0" workbookViewId="0" topLeftCell="A2">
      <pane xSplit="2" ySplit="9" topLeftCell="C11" activePane="bottomRight" state="frozen"/>
      <selection pane="topLeft" activeCell="C44" sqref="C44"/>
      <selection pane="topRight" activeCell="C44" sqref="C44"/>
      <selection pane="bottomLeft" activeCell="C44" sqref="C44"/>
      <selection pane="bottomRight" activeCell="P28" sqref="P28"/>
    </sheetView>
  </sheetViews>
  <sheetFormatPr defaultColWidth="11.421875" defaultRowHeight="12.75"/>
  <cols>
    <col min="1" max="1" width="39.28125" style="336" bestFit="1" customWidth="1"/>
    <col min="2" max="2" width="19.00390625" style="336" customWidth="1"/>
    <col min="3" max="3" width="18.28125" style="336" customWidth="1"/>
    <col min="4" max="10" width="11.421875" style="336" customWidth="1"/>
    <col min="11" max="11" width="14.00390625" style="336" customWidth="1"/>
    <col min="12" max="12" width="0.85546875" style="337" customWidth="1"/>
    <col min="13" max="13" width="20.00390625" style="336" customWidth="1"/>
    <col min="14" max="14" width="0.85546875" style="337" customWidth="1"/>
    <col min="15" max="15" width="20.00390625" style="336" customWidth="1"/>
    <col min="16" max="16" width="11.421875" style="336" customWidth="1"/>
    <col min="17" max="17" width="11.8515625" style="336" bestFit="1" customWidth="1"/>
    <col min="18" max="16384" width="11.421875" style="336" customWidth="1"/>
  </cols>
  <sheetData>
    <row r="1" ht="27.75" customHeight="1"/>
    <row r="2" spans="1:2" ht="27.75" customHeight="1">
      <c r="A2" s="338" t="s">
        <v>242</v>
      </c>
      <c r="B2" s="339">
        <v>40799</v>
      </c>
    </row>
    <row r="3" ht="15" customHeight="1"/>
    <row r="4" ht="13.5" thickBot="1"/>
    <row r="5" spans="1:15" ht="27" customHeight="1">
      <c r="A5" s="920" t="s">
        <v>243</v>
      </c>
      <c r="B5" s="921"/>
      <c r="C5" s="942" t="s">
        <v>244</v>
      </c>
      <c r="D5" s="943"/>
      <c r="E5" s="943"/>
      <c r="F5" s="943"/>
      <c r="G5" s="943"/>
      <c r="H5" s="943"/>
      <c r="I5" s="943"/>
      <c r="J5" s="943"/>
      <c r="K5" s="944"/>
      <c r="L5" s="340"/>
      <c r="M5" s="935" t="s">
        <v>245</v>
      </c>
      <c r="N5" s="342"/>
      <c r="O5" s="935" t="s">
        <v>246</v>
      </c>
    </row>
    <row r="6" spans="1:15" s="344" customFormat="1" ht="27" customHeight="1">
      <c r="A6" s="922"/>
      <c r="B6" s="923"/>
      <c r="C6" s="945" t="s">
        <v>247</v>
      </c>
      <c r="D6" s="946"/>
      <c r="E6" s="946"/>
      <c r="F6" s="946"/>
      <c r="G6" s="946"/>
      <c r="H6" s="946"/>
      <c r="I6" s="946"/>
      <c r="J6" s="946"/>
      <c r="K6" s="947"/>
      <c r="L6" s="343"/>
      <c r="M6" s="936"/>
      <c r="N6" s="342"/>
      <c r="O6" s="936"/>
    </row>
    <row r="7" spans="1:16" s="344" customFormat="1" ht="27" customHeight="1">
      <c r="A7" s="922"/>
      <c r="B7" s="924"/>
      <c r="C7" s="941" t="s">
        <v>372</v>
      </c>
      <c r="D7" s="941">
        <v>2012</v>
      </c>
      <c r="E7" s="941"/>
      <c r="F7" s="941"/>
      <c r="G7" s="941">
        <v>2013</v>
      </c>
      <c r="H7" s="941"/>
      <c r="I7" s="941"/>
      <c r="J7" s="941"/>
      <c r="K7" s="933"/>
      <c r="L7" s="345"/>
      <c r="M7" s="936"/>
      <c r="N7" s="342"/>
      <c r="O7" s="936"/>
      <c r="P7" s="347"/>
    </row>
    <row r="8" spans="1:16" s="344" customFormat="1" ht="16.5" customHeight="1">
      <c r="A8" s="922"/>
      <c r="B8" s="924"/>
      <c r="C8" s="941"/>
      <c r="D8" s="941"/>
      <c r="E8" s="941"/>
      <c r="F8" s="941"/>
      <c r="G8" s="941"/>
      <c r="H8" s="941"/>
      <c r="I8" s="941"/>
      <c r="J8" s="941"/>
      <c r="K8" s="933"/>
      <c r="L8" s="345"/>
      <c r="M8" s="348" t="s">
        <v>248</v>
      </c>
      <c r="N8" s="348"/>
      <c r="O8" s="936"/>
      <c r="P8" s="347"/>
    </row>
    <row r="9" spans="1:15" s="344" customFormat="1" ht="13.5" customHeight="1" thickBot="1">
      <c r="A9" s="925"/>
      <c r="B9" s="926"/>
      <c r="C9" s="941"/>
      <c r="D9" s="432" t="s">
        <v>250</v>
      </c>
      <c r="E9" s="432" t="s">
        <v>251</v>
      </c>
      <c r="F9" s="432" t="s">
        <v>252</v>
      </c>
      <c r="G9" s="432" t="s">
        <v>249</v>
      </c>
      <c r="H9" s="433" t="str">
        <f>D9</f>
        <v>2e trimestre</v>
      </c>
      <c r="I9" s="432" t="s">
        <v>251</v>
      </c>
      <c r="J9" s="432" t="s">
        <v>252</v>
      </c>
      <c r="K9" s="934" t="s">
        <v>251</v>
      </c>
      <c r="L9" s="345"/>
      <c r="M9" s="349">
        <f>B2</f>
        <v>40799</v>
      </c>
      <c r="N9" s="350"/>
      <c r="O9" s="940"/>
    </row>
    <row r="10" spans="1:15" s="344" customFormat="1" ht="24" customHeight="1" thickBot="1">
      <c r="A10" s="379"/>
      <c r="B10" s="379"/>
      <c r="C10" s="930" t="s">
        <v>253</v>
      </c>
      <c r="D10" s="930"/>
      <c r="E10" s="930"/>
      <c r="F10" s="930"/>
      <c r="G10" s="930"/>
      <c r="H10" s="930"/>
      <c r="I10" s="930"/>
      <c r="J10" s="930"/>
      <c r="K10" s="937"/>
      <c r="L10" s="345"/>
      <c r="M10" s="486" t="s">
        <v>254</v>
      </c>
      <c r="N10" s="346"/>
      <c r="O10" s="341"/>
    </row>
    <row r="11" spans="1:17" s="344" customFormat="1" ht="28.5" customHeight="1">
      <c r="A11" s="469" t="s">
        <v>162</v>
      </c>
      <c r="B11" s="460">
        <v>12898</v>
      </c>
      <c r="C11" s="441">
        <f>M70</f>
        <v>13117.528199999999</v>
      </c>
      <c r="D11" s="442">
        <f>273</f>
        <v>273</v>
      </c>
      <c r="E11" s="443"/>
      <c r="F11" s="443">
        <f>200+57</f>
        <v>257</v>
      </c>
      <c r="G11" s="443"/>
      <c r="H11" s="443"/>
      <c r="I11" s="443"/>
      <c r="J11" s="515"/>
      <c r="K11" s="525">
        <f aca="true" t="shared" si="0" ref="K11:K16">B11-SUM(C11:J11)</f>
        <v>-749.5281999999988</v>
      </c>
      <c r="L11" s="480"/>
      <c r="M11" s="487">
        <f aca="true" t="shared" si="1" ref="M11:M19">SUM(C11:K11)</f>
        <v>12898</v>
      </c>
      <c r="N11" s="493"/>
      <c r="O11" s="498">
        <f>M11-B11</f>
        <v>0</v>
      </c>
      <c r="P11" s="353"/>
      <c r="Q11" s="355"/>
    </row>
    <row r="12" spans="1:17" s="424" customFormat="1" ht="28.5" customHeight="1">
      <c r="A12" s="470" t="s">
        <v>255</v>
      </c>
      <c r="B12" s="461">
        <v>1508</v>
      </c>
      <c r="C12" s="444">
        <f>M71</f>
        <v>2055.5405600000004</v>
      </c>
      <c r="D12" s="381">
        <f>128+169+166+117+150</f>
        <v>730</v>
      </c>
      <c r="E12" s="436"/>
      <c r="F12" s="436"/>
      <c r="G12" s="437"/>
      <c r="H12" s="437"/>
      <c r="I12" s="436"/>
      <c r="J12" s="516"/>
      <c r="K12" s="526">
        <f t="shared" si="0"/>
        <v>-1277.5405600000004</v>
      </c>
      <c r="L12" s="481"/>
      <c r="M12" s="488">
        <f t="shared" si="1"/>
        <v>1508</v>
      </c>
      <c r="N12" s="494"/>
      <c r="O12" s="499">
        <f>M12-B12</f>
        <v>0</v>
      </c>
      <c r="P12" s="353"/>
      <c r="Q12" s="355"/>
    </row>
    <row r="13" spans="1:17" s="344" customFormat="1" ht="28.5" customHeight="1">
      <c r="A13" s="471" t="s">
        <v>256</v>
      </c>
      <c r="B13" s="462">
        <v>4837</v>
      </c>
      <c r="C13" s="445">
        <f>M72</f>
        <v>2066.9423</v>
      </c>
      <c r="D13" s="380">
        <f>2000</f>
        <v>2000</v>
      </c>
      <c r="E13" s="425">
        <f>200+112+120+140</f>
        <v>572</v>
      </c>
      <c r="F13" s="425"/>
      <c r="G13" s="427"/>
      <c r="H13" s="426"/>
      <c r="I13" s="425"/>
      <c r="J13" s="517"/>
      <c r="K13" s="526">
        <f t="shared" si="0"/>
        <v>198.0576999999994</v>
      </c>
      <c r="L13" s="480"/>
      <c r="M13" s="489">
        <f t="shared" si="1"/>
        <v>4837</v>
      </c>
      <c r="N13" s="493"/>
      <c r="O13" s="354">
        <f>M13-B13</f>
        <v>0</v>
      </c>
      <c r="P13" s="353"/>
      <c r="Q13" s="355"/>
    </row>
    <row r="14" spans="1:17" s="344" customFormat="1" ht="28.5" customHeight="1">
      <c r="A14" s="472" t="s">
        <v>257</v>
      </c>
      <c r="B14" s="462">
        <v>118382</v>
      </c>
      <c r="C14" s="445">
        <f>M73-2236</f>
        <v>114279.35531999999</v>
      </c>
      <c r="D14" s="380">
        <f>2600+1600+500+600+285</f>
        <v>5585</v>
      </c>
      <c r="E14" s="426">
        <f>900+4500+270</f>
        <v>5670</v>
      </c>
      <c r="F14" s="426">
        <f>1000+2900+7600</f>
        <v>11500</v>
      </c>
      <c r="G14" s="425"/>
      <c r="H14" s="425"/>
      <c r="I14" s="426"/>
      <c r="J14" s="517"/>
      <c r="K14" s="526">
        <f t="shared" si="0"/>
        <v>-18652.355319999973</v>
      </c>
      <c r="L14" s="480"/>
      <c r="M14" s="526">
        <f t="shared" si="1"/>
        <v>118382</v>
      </c>
      <c r="N14" s="495"/>
      <c r="O14" s="500">
        <f>M14-B14</f>
        <v>0</v>
      </c>
      <c r="P14" s="353"/>
      <c r="Q14" s="355"/>
    </row>
    <row r="15" spans="1:17" s="344" customFormat="1" ht="28.5" customHeight="1">
      <c r="A15" s="473" t="s">
        <v>258</v>
      </c>
      <c r="B15" s="462">
        <v>11975</v>
      </c>
      <c r="C15" s="445">
        <v>2236</v>
      </c>
      <c r="D15" s="380">
        <f>1255+500+50</f>
        <v>1805</v>
      </c>
      <c r="E15" s="425">
        <f>54+677+850</f>
        <v>1581</v>
      </c>
      <c r="F15" s="425">
        <f>2154+872</f>
        <v>3026</v>
      </c>
      <c r="G15" s="426"/>
      <c r="H15" s="426"/>
      <c r="I15" s="425"/>
      <c r="J15" s="517"/>
      <c r="K15" s="526">
        <f t="shared" si="0"/>
        <v>3327</v>
      </c>
      <c r="L15" s="482"/>
      <c r="M15" s="526">
        <f t="shared" si="1"/>
        <v>11975</v>
      </c>
      <c r="N15" s="482"/>
      <c r="O15" s="500">
        <f>M15-B15</f>
        <v>0</v>
      </c>
      <c r="P15" s="353"/>
      <c r="Q15" s="355"/>
    </row>
    <row r="16" spans="1:18" s="344" customFormat="1" ht="28.5" customHeight="1">
      <c r="A16" s="473" t="s">
        <v>155</v>
      </c>
      <c r="B16" s="462">
        <v>600</v>
      </c>
      <c r="C16" s="445">
        <v>731</v>
      </c>
      <c r="D16" s="380"/>
      <c r="E16" s="425"/>
      <c r="F16" s="425"/>
      <c r="G16" s="426"/>
      <c r="H16" s="426"/>
      <c r="I16" s="425"/>
      <c r="J16" s="517"/>
      <c r="K16" s="526">
        <f t="shared" si="0"/>
        <v>-131</v>
      </c>
      <c r="L16" s="482"/>
      <c r="M16" s="490">
        <f t="shared" si="1"/>
        <v>600</v>
      </c>
      <c r="N16" s="482"/>
      <c r="O16" s="500"/>
      <c r="P16" s="353"/>
      <c r="Q16" s="355"/>
      <c r="R16" s="355"/>
    </row>
    <row r="17" spans="1:18" s="344" customFormat="1" ht="28.5" customHeight="1">
      <c r="A17" s="474" t="s">
        <v>259</v>
      </c>
      <c r="B17" s="463">
        <f>SUM(B11:B16)</f>
        <v>150200</v>
      </c>
      <c r="C17" s="446">
        <f>SUM(C11:C16)</f>
        <v>134486.36638</v>
      </c>
      <c r="D17" s="438">
        <f aca="true" t="shared" si="2" ref="D17:J17">SUM(D11:D16)</f>
        <v>10393</v>
      </c>
      <c r="E17" s="438">
        <f t="shared" si="2"/>
        <v>7823</v>
      </c>
      <c r="F17" s="438">
        <f t="shared" si="2"/>
        <v>14783</v>
      </c>
      <c r="G17" s="438">
        <f t="shared" si="2"/>
        <v>0</v>
      </c>
      <c r="H17" s="438">
        <f t="shared" si="2"/>
        <v>0</v>
      </c>
      <c r="I17" s="438">
        <f t="shared" si="2"/>
        <v>0</v>
      </c>
      <c r="J17" s="518">
        <f t="shared" si="2"/>
        <v>0</v>
      </c>
      <c r="K17" s="500">
        <f>SUM(K11:K16)</f>
        <v>-17285.366379999974</v>
      </c>
      <c r="L17" s="480"/>
      <c r="M17" s="354">
        <f t="shared" si="1"/>
        <v>150200.00000000003</v>
      </c>
      <c r="N17" s="496"/>
      <c r="O17" s="354">
        <f>M17-B17</f>
        <v>0</v>
      </c>
      <c r="P17" s="353"/>
      <c r="Q17" s="355"/>
      <c r="R17" s="355"/>
    </row>
    <row r="18" spans="1:17" s="344" customFormat="1" ht="28.5" customHeight="1">
      <c r="A18" s="473" t="s">
        <v>260</v>
      </c>
      <c r="B18" s="462">
        <v>10070</v>
      </c>
      <c r="C18" s="452">
        <f>M74</f>
        <v>6641.47597</v>
      </c>
      <c r="D18" s="380">
        <f>D17*6.33958605%</f>
        <v>658.8731781765</v>
      </c>
      <c r="E18" s="380">
        <f>E17*6.33958605%</f>
        <v>495.9458166915</v>
      </c>
      <c r="F18" s="380">
        <f>F17*6.33958605%</f>
        <v>937.1810057714999</v>
      </c>
      <c r="G18" s="380">
        <f>G17*6.213%</f>
        <v>0</v>
      </c>
      <c r="H18" s="380">
        <f>H17*6.213%</f>
        <v>0</v>
      </c>
      <c r="I18" s="380">
        <f>I17*6.213%</f>
        <v>0</v>
      </c>
      <c r="J18" s="519">
        <f>J17*6.213%</f>
        <v>0</v>
      </c>
      <c r="K18" s="526">
        <f>B18-SUM(C18:J18)</f>
        <v>1336.5240293605002</v>
      </c>
      <c r="L18" s="480"/>
      <c r="M18" s="489">
        <f t="shared" si="1"/>
        <v>10070</v>
      </c>
      <c r="N18" s="493"/>
      <c r="O18" s="354">
        <f>M18-B18</f>
        <v>0</v>
      </c>
      <c r="P18" s="355"/>
      <c r="Q18" s="355"/>
    </row>
    <row r="19" spans="1:18" s="344" customFormat="1" ht="22.5" customHeight="1" thickBot="1">
      <c r="A19" s="475" t="s">
        <v>261</v>
      </c>
      <c r="B19" s="463">
        <f>B17+B18</f>
        <v>160270</v>
      </c>
      <c r="C19" s="447">
        <f aca="true" t="shared" si="3" ref="C19:K19">C17+C18</f>
        <v>141127.84235</v>
      </c>
      <c r="D19" s="439">
        <f t="shared" si="3"/>
        <v>11051.8731781765</v>
      </c>
      <c r="E19" s="439">
        <f t="shared" si="3"/>
        <v>8318.9458166915</v>
      </c>
      <c r="F19" s="439">
        <f t="shared" si="3"/>
        <v>15720.1810057715</v>
      </c>
      <c r="G19" s="439">
        <f t="shared" si="3"/>
        <v>0</v>
      </c>
      <c r="H19" s="439">
        <f t="shared" si="3"/>
        <v>0</v>
      </c>
      <c r="I19" s="428">
        <f t="shared" si="3"/>
        <v>0</v>
      </c>
      <c r="J19" s="520">
        <f t="shared" si="3"/>
        <v>0</v>
      </c>
      <c r="K19" s="628">
        <f t="shared" si="3"/>
        <v>-15948.842350639474</v>
      </c>
      <c r="L19" s="480"/>
      <c r="M19" s="630">
        <f t="shared" si="1"/>
        <v>160270.00000000003</v>
      </c>
      <c r="N19" s="496"/>
      <c r="O19" s="354">
        <f>M19-B19</f>
        <v>0</v>
      </c>
      <c r="P19" s="673"/>
      <c r="Q19" s="355"/>
      <c r="R19" s="355"/>
    </row>
    <row r="20" spans="1:18" s="344" customFormat="1" ht="15.75" customHeight="1">
      <c r="A20" s="476" t="s">
        <v>262</v>
      </c>
      <c r="B20" s="464">
        <v>102423</v>
      </c>
      <c r="C20" s="449">
        <f>récap!E8/1000</f>
        <v>95480.63054999999</v>
      </c>
      <c r="D20" s="434"/>
      <c r="E20" s="434"/>
      <c r="F20" s="434"/>
      <c r="G20" s="434"/>
      <c r="H20" s="434"/>
      <c r="I20" s="435"/>
      <c r="J20" s="521"/>
      <c r="K20" s="627"/>
      <c r="L20" s="483"/>
      <c r="M20" s="629"/>
      <c r="N20" s="497"/>
      <c r="O20" s="356"/>
      <c r="P20" s="672"/>
      <c r="Q20" s="705"/>
      <c r="R20" s="355"/>
    </row>
    <row r="21" spans="1:18" s="344" customFormat="1" ht="15.75" customHeight="1">
      <c r="A21" s="476" t="s">
        <v>263</v>
      </c>
      <c r="B21" s="465">
        <v>17737</v>
      </c>
      <c r="C21" s="449">
        <f>récap!E10/1000</f>
        <v>12781.03435</v>
      </c>
      <c r="D21" s="434"/>
      <c r="E21" s="434"/>
      <c r="F21" s="434"/>
      <c r="G21" s="434"/>
      <c r="H21" s="434"/>
      <c r="I21" s="435"/>
      <c r="J21" s="521"/>
      <c r="K21" s="527"/>
      <c r="L21" s="483"/>
      <c r="M21" s="491"/>
      <c r="N21" s="497"/>
      <c r="O21" s="356"/>
      <c r="P21" s="353"/>
      <c r="R21" s="355"/>
    </row>
    <row r="22" spans="1:18" s="344" customFormat="1" ht="23.25" customHeight="1">
      <c r="A22" s="477" t="s">
        <v>282</v>
      </c>
      <c r="B22" s="465">
        <f>5000+7600</f>
        <v>12600</v>
      </c>
      <c r="C22" s="449">
        <f>récap!E9/1000</f>
        <v>12320.15006</v>
      </c>
      <c r="D22" s="434"/>
      <c r="E22" s="434"/>
      <c r="F22" s="434"/>
      <c r="G22" s="434"/>
      <c r="H22" s="434"/>
      <c r="I22" s="435"/>
      <c r="J22" s="521"/>
      <c r="K22" s="527"/>
      <c r="L22" s="484"/>
      <c r="M22" s="491"/>
      <c r="N22" s="497"/>
      <c r="O22" s="356"/>
      <c r="P22" s="353"/>
      <c r="Q22" s="355"/>
      <c r="R22" s="355"/>
    </row>
    <row r="23" spans="1:18" s="344" customFormat="1" ht="15.75" customHeight="1">
      <c r="A23" s="476" t="s">
        <v>264</v>
      </c>
      <c r="B23" s="465">
        <v>19010</v>
      </c>
      <c r="C23" s="449">
        <f>récap!E12/1000</f>
        <v>12350.202100000004</v>
      </c>
      <c r="D23" s="434"/>
      <c r="E23" s="434"/>
      <c r="F23" s="434"/>
      <c r="G23" s="434"/>
      <c r="H23" s="434"/>
      <c r="I23" s="435"/>
      <c r="J23" s="521"/>
      <c r="K23" s="527"/>
      <c r="L23" s="484"/>
      <c r="M23" s="491"/>
      <c r="N23" s="497"/>
      <c r="O23" s="356"/>
      <c r="P23" s="353"/>
      <c r="R23" s="355"/>
    </row>
    <row r="24" spans="1:18" s="344" customFormat="1" ht="15.75" customHeight="1">
      <c r="A24" s="476" t="s">
        <v>265</v>
      </c>
      <c r="B24" s="465">
        <v>8500</v>
      </c>
      <c r="C24" s="449">
        <f>récap!E11/1000</f>
        <v>8213.166860000001</v>
      </c>
      <c r="D24" s="434"/>
      <c r="E24" s="434"/>
      <c r="F24" s="434"/>
      <c r="G24" s="434"/>
      <c r="H24" s="434"/>
      <c r="I24" s="435"/>
      <c r="J24" s="521"/>
      <c r="K24" s="527"/>
      <c r="L24" s="484"/>
      <c r="M24" s="491"/>
      <c r="N24" s="497"/>
      <c r="O24" s="356"/>
      <c r="P24" s="353"/>
      <c r="R24" s="355"/>
    </row>
    <row r="25" spans="1:16" s="344" customFormat="1" ht="22.5" customHeight="1">
      <c r="A25" s="475" t="s">
        <v>266</v>
      </c>
      <c r="B25" s="466">
        <f>SUM(B20:B24)</f>
        <v>160270</v>
      </c>
      <c r="C25" s="447">
        <f>SUM(C20:C24)</f>
        <v>141145.18391999998</v>
      </c>
      <c r="D25" s="429">
        <f>C25+D19</f>
        <v>152197.05709817648</v>
      </c>
      <c r="E25" s="429">
        <f aca="true" t="shared" si="4" ref="E25:J25">D25+E19</f>
        <v>160516.00291486798</v>
      </c>
      <c r="F25" s="429">
        <f t="shared" si="4"/>
        <v>176236.18392063948</v>
      </c>
      <c r="G25" s="429">
        <f t="shared" si="4"/>
        <v>176236.18392063948</v>
      </c>
      <c r="H25" s="429">
        <f t="shared" si="4"/>
        <v>176236.18392063948</v>
      </c>
      <c r="I25" s="429">
        <f t="shared" si="4"/>
        <v>176236.18392063948</v>
      </c>
      <c r="J25" s="429">
        <f t="shared" si="4"/>
        <v>176236.18392063948</v>
      </c>
      <c r="K25" s="531">
        <f>J25+K19</f>
        <v>160287.34157000002</v>
      </c>
      <c r="L25" s="530">
        <f>K25+L19</f>
        <v>160287.34157000002</v>
      </c>
      <c r="M25" s="354">
        <f>M19</f>
        <v>160270.00000000003</v>
      </c>
      <c r="N25" s="496"/>
      <c r="O25" s="354"/>
      <c r="P25" s="353"/>
    </row>
    <row r="26" spans="1:15" s="344" customFormat="1" ht="22.5" customHeight="1">
      <c r="A26" s="478" t="s">
        <v>267</v>
      </c>
      <c r="B26" s="467">
        <f>149941</f>
        <v>149941</v>
      </c>
      <c r="C26" s="447">
        <v>149941</v>
      </c>
      <c r="D26" s="431"/>
      <c r="E26" s="431"/>
      <c r="F26" s="430">
        <v>6911</v>
      </c>
      <c r="G26" s="430"/>
      <c r="H26" s="439">
        <v>3418</v>
      </c>
      <c r="I26" s="430"/>
      <c r="J26" s="522"/>
      <c r="K26" s="528">
        <f>SUM(C26:J26)</f>
        <v>160270</v>
      </c>
      <c r="L26" s="485"/>
      <c r="M26" s="354">
        <f>K26</f>
        <v>160270</v>
      </c>
      <c r="N26" s="496"/>
      <c r="O26" s="354"/>
    </row>
    <row r="27" spans="1:17" s="344" customFormat="1" ht="22.5" customHeight="1">
      <c r="A27" s="478" t="s">
        <v>268</v>
      </c>
      <c r="B27" s="467">
        <v>149941</v>
      </c>
      <c r="C27" s="447">
        <v>149941</v>
      </c>
      <c r="D27" s="431">
        <f aca="true" t="shared" si="5" ref="D27:J27">C27+D26</f>
        <v>149941</v>
      </c>
      <c r="E27" s="431">
        <f t="shared" si="5"/>
        <v>149941</v>
      </c>
      <c r="F27" s="431">
        <f t="shared" si="5"/>
        <v>156852</v>
      </c>
      <c r="G27" s="431">
        <f t="shared" si="5"/>
        <v>156852</v>
      </c>
      <c r="H27" s="431">
        <f t="shared" si="5"/>
        <v>160270</v>
      </c>
      <c r="I27" s="431">
        <f t="shared" si="5"/>
        <v>160270</v>
      </c>
      <c r="J27" s="431">
        <f t="shared" si="5"/>
        <v>160270</v>
      </c>
      <c r="K27" s="529">
        <f>J27</f>
        <v>160270</v>
      </c>
      <c r="L27" s="485"/>
      <c r="M27" s="354"/>
      <c r="N27" s="496"/>
      <c r="O27" s="354"/>
      <c r="P27" s="353"/>
      <c r="Q27" s="355"/>
    </row>
    <row r="28" spans="1:17" s="344" customFormat="1" ht="22.5" customHeight="1">
      <c r="A28" s="478" t="s">
        <v>269</v>
      </c>
      <c r="B28" s="467">
        <f>B25-B27</f>
        <v>10329</v>
      </c>
      <c r="C28" s="447">
        <f>C27-C25</f>
        <v>8795.816080000019</v>
      </c>
      <c r="D28" s="447">
        <f aca="true" t="shared" si="6" ref="D28:J28">D27-D25</f>
        <v>-2256.057098176476</v>
      </c>
      <c r="E28" s="447">
        <f t="shared" si="6"/>
        <v>-10575.002914867975</v>
      </c>
      <c r="F28" s="447">
        <f t="shared" si="6"/>
        <v>-19384.18392063948</v>
      </c>
      <c r="G28" s="447">
        <f t="shared" si="6"/>
        <v>-19384.18392063948</v>
      </c>
      <c r="H28" s="447">
        <f t="shared" si="6"/>
        <v>-15966.18392063948</v>
      </c>
      <c r="I28" s="447">
        <f t="shared" si="6"/>
        <v>-15966.18392063948</v>
      </c>
      <c r="J28" s="523">
        <f t="shared" si="6"/>
        <v>-15966.18392063948</v>
      </c>
      <c r="K28" s="500">
        <f>K25-K27</f>
        <v>17.34157000001869</v>
      </c>
      <c r="L28" s="485"/>
      <c r="M28" s="354"/>
      <c r="N28" s="496"/>
      <c r="O28" s="354"/>
      <c r="P28" s="353"/>
      <c r="Q28" s="355"/>
    </row>
    <row r="29" spans="1:15" s="355" customFormat="1" ht="22.5" customHeight="1" thickBot="1">
      <c r="A29" s="479" t="s">
        <v>270</v>
      </c>
      <c r="B29" s="468">
        <f>B25-B27</f>
        <v>10329</v>
      </c>
      <c r="C29" s="450">
        <f>$B$25-C27</f>
        <v>10329</v>
      </c>
      <c r="D29" s="451">
        <f aca="true" t="shared" si="7" ref="D29:J29">$B$25-D27</f>
        <v>10329</v>
      </c>
      <c r="E29" s="451">
        <f t="shared" si="7"/>
        <v>10329</v>
      </c>
      <c r="F29" s="451">
        <f t="shared" si="7"/>
        <v>3418</v>
      </c>
      <c r="G29" s="451">
        <f t="shared" si="7"/>
        <v>3418</v>
      </c>
      <c r="H29" s="451">
        <f t="shared" si="7"/>
        <v>0</v>
      </c>
      <c r="I29" s="451">
        <f t="shared" si="7"/>
        <v>0</v>
      </c>
      <c r="J29" s="524">
        <f t="shared" si="7"/>
        <v>0</v>
      </c>
      <c r="K29" s="492">
        <f>$B$19-K27</f>
        <v>0</v>
      </c>
      <c r="L29" s="352"/>
      <c r="M29" s="492">
        <f>M26-M19</f>
        <v>0</v>
      </c>
      <c r="N29" s="352"/>
      <c r="O29" s="492"/>
    </row>
    <row r="30" spans="1:15" s="344" customFormat="1" ht="24" customHeight="1" thickBot="1">
      <c r="A30" s="351"/>
      <c r="B30" s="351"/>
      <c r="C30" s="930" t="s">
        <v>271</v>
      </c>
      <c r="D30" s="930"/>
      <c r="E30" s="930"/>
      <c r="F30" s="930"/>
      <c r="G30" s="930"/>
      <c r="H30" s="930"/>
      <c r="I30" s="930"/>
      <c r="J30" s="930"/>
      <c r="K30" s="930"/>
      <c r="L30" s="345"/>
      <c r="M30" s="346" t="s">
        <v>272</v>
      </c>
      <c r="N30" s="346"/>
      <c r="O30" s="342"/>
    </row>
    <row r="31" spans="1:18" s="344" customFormat="1" ht="28.5" customHeight="1">
      <c r="A31" s="469" t="s">
        <v>162</v>
      </c>
      <c r="B31" s="460">
        <f aca="true" t="shared" si="8" ref="B31:B36">B11</f>
        <v>12898</v>
      </c>
      <c r="C31" s="453">
        <f>M79</f>
        <v>10746.700599999998</v>
      </c>
      <c r="D31" s="442">
        <f>1144.6+273</f>
        <v>1417.6</v>
      </c>
      <c r="E31" s="442">
        <f>1144.6</f>
        <v>1144.6</v>
      </c>
      <c r="F31" s="442">
        <f>1144.6+85.6</f>
        <v>1230.1999999999998</v>
      </c>
      <c r="G31" s="442">
        <f>1144.6+85.6</f>
        <v>1230.1999999999998</v>
      </c>
      <c r="H31" s="442">
        <f>1144.6+85.6</f>
        <v>1230.1999999999998</v>
      </c>
      <c r="I31" s="443"/>
      <c r="J31" s="443"/>
      <c r="K31" s="462">
        <f aca="true" t="shared" si="9" ref="K31:K36">B31-SUM(C31:J31)</f>
        <v>-4101.500599999999</v>
      </c>
      <c r="L31" s="493"/>
      <c r="M31" s="487">
        <f>SUM(C31:K31)</f>
        <v>12898</v>
      </c>
      <c r="N31" s="493"/>
      <c r="O31" s="498">
        <f aca="true" t="shared" si="10" ref="O31:O39">B31-M31</f>
        <v>0</v>
      </c>
      <c r="Q31" s="355"/>
      <c r="R31" s="355"/>
    </row>
    <row r="32" spans="1:17" s="344" customFormat="1" ht="28.5" customHeight="1">
      <c r="A32" s="470" t="s">
        <v>255</v>
      </c>
      <c r="B32" s="462">
        <f t="shared" si="8"/>
        <v>1508</v>
      </c>
      <c r="C32" s="454">
        <f>M80</f>
        <v>1759.7005500000002</v>
      </c>
      <c r="D32" s="380">
        <f>100.6+147</f>
        <v>247.6</v>
      </c>
      <c r="E32" s="380">
        <f>100.6+146</f>
        <v>246.6</v>
      </c>
      <c r="F32" s="380">
        <f>100.6+146</f>
        <v>246.6</v>
      </c>
      <c r="G32" s="380">
        <f>100.6+146</f>
        <v>246.6</v>
      </c>
      <c r="H32" s="380">
        <f>100.6+146</f>
        <v>246.6</v>
      </c>
      <c r="I32" s="426"/>
      <c r="J32" s="426"/>
      <c r="K32" s="462">
        <f t="shared" si="9"/>
        <v>-1485.70055</v>
      </c>
      <c r="L32" s="493"/>
      <c r="M32" s="489">
        <f aca="true" t="shared" si="11" ref="M32:M39">SUM(C32:K32)</f>
        <v>1508</v>
      </c>
      <c r="N32" s="493"/>
      <c r="O32" s="354">
        <f t="shared" si="10"/>
        <v>0</v>
      </c>
      <c r="Q32" s="355"/>
    </row>
    <row r="33" spans="1:15" s="344" customFormat="1" ht="28.5" customHeight="1">
      <c r="A33" s="471" t="s">
        <v>256</v>
      </c>
      <c r="B33" s="462">
        <f t="shared" si="8"/>
        <v>4837</v>
      </c>
      <c r="C33" s="454">
        <f>M81</f>
        <v>1628.9336099999996</v>
      </c>
      <c r="D33" s="380">
        <f>121.4+400</f>
        <v>521.4</v>
      </c>
      <c r="E33" s="380">
        <f>121.4+400+143</f>
        <v>664.4</v>
      </c>
      <c r="F33" s="380">
        <f>121.4+400+143</f>
        <v>664.4</v>
      </c>
      <c r="G33" s="380">
        <f>121.4+400+143</f>
        <v>664.4</v>
      </c>
      <c r="H33" s="380">
        <f>121.4+400+143</f>
        <v>664.4</v>
      </c>
      <c r="I33" s="426"/>
      <c r="J33" s="426"/>
      <c r="K33" s="462">
        <f t="shared" si="9"/>
        <v>29.066390000000865</v>
      </c>
      <c r="L33" s="493"/>
      <c r="M33" s="489">
        <f t="shared" si="11"/>
        <v>4837</v>
      </c>
      <c r="N33" s="493"/>
      <c r="O33" s="354">
        <f t="shared" si="10"/>
        <v>0</v>
      </c>
    </row>
    <row r="34" spans="1:15" s="344" customFormat="1" ht="28.5" customHeight="1">
      <c r="A34" s="472" t="s">
        <v>257</v>
      </c>
      <c r="B34" s="462">
        <f t="shared" si="8"/>
        <v>118382</v>
      </c>
      <c r="C34" s="454">
        <f>M82</f>
        <v>90697.01339000004</v>
      </c>
      <c r="D34" s="380">
        <f>9189.2+1117</f>
        <v>10306.2</v>
      </c>
      <c r="E34" s="380">
        <f>9189.2+1117+1417.5</f>
        <v>11723.7</v>
      </c>
      <c r="F34" s="380">
        <f>9189.2+1117+1417.5+3833.33</f>
        <v>15557.03</v>
      </c>
      <c r="G34" s="380">
        <f>9189.2+1117+1417.5+3833.33</f>
        <v>15557.03</v>
      </c>
      <c r="H34" s="380">
        <f>9189.2+1117+1417.5+3833.33</f>
        <v>15557.03</v>
      </c>
      <c r="I34" s="425"/>
      <c r="J34" s="425"/>
      <c r="K34" s="462">
        <f t="shared" si="9"/>
        <v>-41016.00339000003</v>
      </c>
      <c r="L34" s="493"/>
      <c r="M34" s="489">
        <f t="shared" si="11"/>
        <v>118382</v>
      </c>
      <c r="N34" s="493"/>
      <c r="O34" s="354">
        <f t="shared" si="10"/>
        <v>0</v>
      </c>
    </row>
    <row r="35" spans="1:17" s="344" customFormat="1" ht="28.5" customHeight="1">
      <c r="A35" s="473" t="s">
        <v>273</v>
      </c>
      <c r="B35" s="462">
        <f t="shared" si="8"/>
        <v>11975</v>
      </c>
      <c r="C35" s="454">
        <v>0</v>
      </c>
      <c r="D35" s="380">
        <f>447.2+361</f>
        <v>808.2</v>
      </c>
      <c r="E35" s="380">
        <f>447.2+361+395.25</f>
        <v>1203.45</v>
      </c>
      <c r="F35" s="380">
        <f>447.2+361+395.25+1008.66</f>
        <v>2212.11</v>
      </c>
      <c r="G35" s="380">
        <f>447.2+361+395.25+1008.66</f>
        <v>2212.11</v>
      </c>
      <c r="H35" s="380">
        <f>447.2+361+395.25+1008.66</f>
        <v>2212.11</v>
      </c>
      <c r="I35" s="426"/>
      <c r="J35" s="426"/>
      <c r="K35" s="462">
        <f t="shared" si="9"/>
        <v>3327.0199999999986</v>
      </c>
      <c r="L35" s="493"/>
      <c r="M35" s="489">
        <f t="shared" si="11"/>
        <v>11975</v>
      </c>
      <c r="N35" s="493"/>
      <c r="O35" s="354">
        <f t="shared" si="10"/>
        <v>0</v>
      </c>
      <c r="Q35" s="355"/>
    </row>
    <row r="36" spans="1:17" s="344" customFormat="1" ht="28.5" customHeight="1">
      <c r="A36" s="473" t="s">
        <v>155</v>
      </c>
      <c r="B36" s="462">
        <f t="shared" si="8"/>
        <v>600</v>
      </c>
      <c r="C36" s="454">
        <v>731</v>
      </c>
      <c r="D36" s="380"/>
      <c r="E36" s="380"/>
      <c r="F36" s="426"/>
      <c r="G36" s="426"/>
      <c r="H36" s="426"/>
      <c r="I36" s="426"/>
      <c r="J36" s="426"/>
      <c r="K36" s="462">
        <f t="shared" si="9"/>
        <v>-131</v>
      </c>
      <c r="L36" s="493"/>
      <c r="M36" s="489">
        <f t="shared" si="11"/>
        <v>600</v>
      </c>
      <c r="N36" s="493"/>
      <c r="O36" s="354">
        <f t="shared" si="10"/>
        <v>0</v>
      </c>
      <c r="Q36" s="355"/>
    </row>
    <row r="37" spans="1:18" s="344" customFormat="1" ht="28.5" customHeight="1">
      <c r="A37" s="474" t="s">
        <v>259</v>
      </c>
      <c r="B37" s="463">
        <f>SUM(B31:B36)</f>
        <v>150200</v>
      </c>
      <c r="C37" s="455">
        <f>SUM(C31:C36)</f>
        <v>105563.34815000003</v>
      </c>
      <c r="D37" s="438">
        <f aca="true" t="shared" si="12" ref="D37:J37">SUM(D31:D35)</f>
        <v>13301.000000000002</v>
      </c>
      <c r="E37" s="439">
        <f t="shared" si="12"/>
        <v>14982.750000000002</v>
      </c>
      <c r="F37" s="439">
        <f t="shared" si="12"/>
        <v>19910.34</v>
      </c>
      <c r="G37" s="439">
        <f t="shared" si="12"/>
        <v>19910.34</v>
      </c>
      <c r="H37" s="439">
        <f t="shared" si="12"/>
        <v>19910.34</v>
      </c>
      <c r="I37" s="428">
        <f t="shared" si="12"/>
        <v>0</v>
      </c>
      <c r="J37" s="428">
        <f t="shared" si="12"/>
        <v>0</v>
      </c>
      <c r="K37" s="448">
        <f>SUM(K31:K36)</f>
        <v>-43378.11815000003</v>
      </c>
      <c r="L37" s="485"/>
      <c r="M37" s="354">
        <f t="shared" si="11"/>
        <v>150200</v>
      </c>
      <c r="N37" s="496"/>
      <c r="O37" s="354">
        <f t="shared" si="10"/>
        <v>0</v>
      </c>
      <c r="P37" s="353"/>
      <c r="Q37" s="355"/>
      <c r="R37" s="355"/>
    </row>
    <row r="38" spans="1:17" s="344" customFormat="1" ht="28.5" customHeight="1">
      <c r="A38" s="473" t="s">
        <v>260</v>
      </c>
      <c r="B38" s="462">
        <f>B18</f>
        <v>10070</v>
      </c>
      <c r="C38" s="456">
        <f>M83</f>
        <v>4785.657999999999</v>
      </c>
      <c r="D38" s="380">
        <f>D37*5.33546813%</f>
        <v>709.6706159713001</v>
      </c>
      <c r="E38" s="380">
        <f>E37*5.33546813%</f>
        <v>799.399851247575</v>
      </c>
      <c r="F38" s="380">
        <f>F37*5.33546813%</f>
        <v>1062.309845274642</v>
      </c>
      <c r="G38" s="380">
        <f>G37*5.33546813%</f>
        <v>1062.309845274642</v>
      </c>
      <c r="H38" s="380">
        <f>H37*5.33546813%</f>
        <v>1062.309845274642</v>
      </c>
      <c r="I38" s="426"/>
      <c r="J38" s="426"/>
      <c r="K38" s="357">
        <f>B38-SUM(C38:J38)</f>
        <v>588.3419969572005</v>
      </c>
      <c r="L38" s="480"/>
      <c r="M38" s="489">
        <f t="shared" si="11"/>
        <v>10070</v>
      </c>
      <c r="N38" s="493"/>
      <c r="O38" s="354">
        <f t="shared" si="10"/>
        <v>0</v>
      </c>
      <c r="Q38" s="355"/>
    </row>
    <row r="39" spans="1:16" s="344" customFormat="1" ht="22.5" customHeight="1">
      <c r="A39" s="475" t="s">
        <v>274</v>
      </c>
      <c r="B39" s="463">
        <f>B37+B38</f>
        <v>160270</v>
      </c>
      <c r="C39" s="457">
        <f>C38+C37</f>
        <v>110349.00615000003</v>
      </c>
      <c r="D39" s="382">
        <f aca="true" t="shared" si="13" ref="D39:K39">D37+D38</f>
        <v>14010.670615971301</v>
      </c>
      <c r="E39" s="439">
        <f t="shared" si="13"/>
        <v>15782.149851247577</v>
      </c>
      <c r="F39" s="439">
        <f t="shared" si="13"/>
        <v>20972.649845274642</v>
      </c>
      <c r="G39" s="439">
        <f t="shared" si="13"/>
        <v>20972.649845274642</v>
      </c>
      <c r="H39" s="439">
        <f t="shared" si="13"/>
        <v>20972.649845274642</v>
      </c>
      <c r="I39" s="428">
        <f t="shared" si="13"/>
        <v>0</v>
      </c>
      <c r="J39" s="428">
        <f t="shared" si="13"/>
        <v>0</v>
      </c>
      <c r="K39" s="448">
        <f t="shared" si="13"/>
        <v>-42789.77615304283</v>
      </c>
      <c r="L39" s="480"/>
      <c r="M39" s="354">
        <f t="shared" si="11"/>
        <v>160269.99999999997</v>
      </c>
      <c r="N39" s="496"/>
      <c r="O39" s="354">
        <f t="shared" si="10"/>
        <v>0</v>
      </c>
      <c r="P39" s="358"/>
    </row>
    <row r="40" spans="1:18" s="344" customFormat="1" ht="12.75">
      <c r="A40" s="476" t="s">
        <v>262</v>
      </c>
      <c r="B40" s="464">
        <f>B20</f>
        <v>102423</v>
      </c>
      <c r="C40" s="458">
        <f>récap!J8/1000</f>
        <v>83298.46536000005</v>
      </c>
      <c r="D40" s="434"/>
      <c r="E40" s="434"/>
      <c r="F40" s="434"/>
      <c r="G40" s="434"/>
      <c r="H40" s="434"/>
      <c r="I40" s="440"/>
      <c r="J40" s="440"/>
      <c r="K40" s="359"/>
      <c r="L40" s="484"/>
      <c r="M40" s="491"/>
      <c r="N40" s="497"/>
      <c r="O40" s="356"/>
      <c r="P40" s="353"/>
      <c r="R40" s="355"/>
    </row>
    <row r="41" spans="1:18" s="344" customFormat="1" ht="12.75">
      <c r="A41" s="476" t="s">
        <v>263</v>
      </c>
      <c r="B41" s="464">
        <f>B21</f>
        <v>17737</v>
      </c>
      <c r="C41" s="458">
        <f>récap!J10/1000</f>
        <v>3913.7020700000003</v>
      </c>
      <c r="D41" s="434"/>
      <c r="E41" s="434"/>
      <c r="F41" s="434"/>
      <c r="G41" s="434"/>
      <c r="H41" s="434"/>
      <c r="I41" s="440"/>
      <c r="J41" s="440"/>
      <c r="K41" s="359"/>
      <c r="L41" s="484"/>
      <c r="M41" s="491"/>
      <c r="N41" s="497"/>
      <c r="O41" s="356"/>
      <c r="P41" s="353"/>
      <c r="R41" s="355"/>
    </row>
    <row r="42" spans="1:18" s="344" customFormat="1" ht="24">
      <c r="A42" s="477" t="s">
        <v>282</v>
      </c>
      <c r="B42" s="464">
        <f>B22</f>
        <v>12600</v>
      </c>
      <c r="C42" s="458">
        <f>récap!J9/1000</f>
        <v>7580.284559999999</v>
      </c>
      <c r="D42" s="434"/>
      <c r="E42" s="434"/>
      <c r="F42" s="434"/>
      <c r="G42" s="434"/>
      <c r="H42" s="434"/>
      <c r="I42" s="440"/>
      <c r="J42" s="440"/>
      <c r="K42" s="359"/>
      <c r="L42" s="484"/>
      <c r="M42" s="491"/>
      <c r="N42" s="497"/>
      <c r="O42" s="356"/>
      <c r="P42" s="353"/>
      <c r="R42" s="355"/>
    </row>
    <row r="43" spans="1:18" s="344" customFormat="1" ht="12.75">
      <c r="A43" s="476" t="s">
        <v>264</v>
      </c>
      <c r="B43" s="464">
        <f>B23</f>
        <v>19010</v>
      </c>
      <c r="C43" s="458">
        <f>récap!J12/1000</f>
        <v>11466.63967</v>
      </c>
      <c r="D43" s="434"/>
      <c r="E43" s="434"/>
      <c r="F43" s="434"/>
      <c r="G43" s="434"/>
      <c r="H43" s="434"/>
      <c r="I43" s="440"/>
      <c r="J43" s="440"/>
      <c r="K43" s="359"/>
      <c r="L43" s="484"/>
      <c r="M43" s="491"/>
      <c r="N43" s="497"/>
      <c r="O43" s="356"/>
      <c r="P43" s="353"/>
      <c r="R43" s="355"/>
    </row>
    <row r="44" spans="1:18" s="344" customFormat="1" ht="12.75">
      <c r="A44" s="476" t="s">
        <v>265</v>
      </c>
      <c r="B44" s="464">
        <f>B24</f>
        <v>8500</v>
      </c>
      <c r="C44" s="458">
        <f>récap!J11/1000</f>
        <v>4094.66787</v>
      </c>
      <c r="D44" s="434"/>
      <c r="E44" s="434"/>
      <c r="F44" s="434"/>
      <c r="G44" s="434"/>
      <c r="H44" s="434"/>
      <c r="I44" s="440"/>
      <c r="J44" s="440"/>
      <c r="K44" s="359"/>
      <c r="L44" s="484"/>
      <c r="M44" s="491"/>
      <c r="N44" s="497"/>
      <c r="O44" s="356"/>
      <c r="P44" s="353"/>
      <c r="R44" s="355"/>
    </row>
    <row r="45" spans="1:16" s="344" customFormat="1" ht="22.5" customHeight="1">
      <c r="A45" s="475" t="s">
        <v>266</v>
      </c>
      <c r="B45" s="463">
        <f>SUM(B40:B44)</f>
        <v>160270</v>
      </c>
      <c r="C45" s="457">
        <f>SUM(C40:C44)</f>
        <v>110353.75953000005</v>
      </c>
      <c r="D45" s="429">
        <f>C45+D39</f>
        <v>124364.43014597136</v>
      </c>
      <c r="E45" s="429">
        <f aca="true" t="shared" si="14" ref="E45:J45">D45+E39</f>
        <v>140146.57999721894</v>
      </c>
      <c r="F45" s="429">
        <f t="shared" si="14"/>
        <v>161119.22984249357</v>
      </c>
      <c r="G45" s="429">
        <f t="shared" si="14"/>
        <v>182091.8796877682</v>
      </c>
      <c r="H45" s="429">
        <f t="shared" si="14"/>
        <v>203064.52953304283</v>
      </c>
      <c r="I45" s="429">
        <f t="shared" si="14"/>
        <v>203064.52953304283</v>
      </c>
      <c r="J45" s="429">
        <f t="shared" si="14"/>
        <v>203064.52953304283</v>
      </c>
      <c r="K45" s="431">
        <f>J45+K39</f>
        <v>160274.75338</v>
      </c>
      <c r="L45" s="480"/>
      <c r="M45" s="354"/>
      <c r="N45" s="496"/>
      <c r="O45" s="354"/>
      <c r="P45" s="358"/>
    </row>
    <row r="46" spans="1:16" s="344" customFormat="1" ht="22.5" customHeight="1">
      <c r="A46" s="478" t="s">
        <v>275</v>
      </c>
      <c r="B46" s="467">
        <v>93285</v>
      </c>
      <c r="C46" s="457">
        <v>93285</v>
      </c>
      <c r="D46" s="382"/>
      <c r="E46" s="430"/>
      <c r="F46" s="431">
        <v>43085</v>
      </c>
      <c r="G46" s="431"/>
      <c r="H46" s="431">
        <v>23900</v>
      </c>
      <c r="I46" s="430"/>
      <c r="J46" s="430"/>
      <c r="K46" s="431"/>
      <c r="L46" s="485"/>
      <c r="M46" s="354">
        <f>SUM(C46:J46)</f>
        <v>160270</v>
      </c>
      <c r="N46" s="496"/>
      <c r="O46" s="354"/>
      <c r="P46" s="353"/>
    </row>
    <row r="47" spans="1:16" s="344" customFormat="1" ht="22.5" customHeight="1">
      <c r="A47" s="478" t="s">
        <v>276</v>
      </c>
      <c r="B47" s="467">
        <v>93285</v>
      </c>
      <c r="C47" s="457">
        <v>93285</v>
      </c>
      <c r="D47" s="431">
        <f aca="true" t="shared" si="15" ref="D47:K47">C47+D46</f>
        <v>93285</v>
      </c>
      <c r="E47" s="431">
        <f t="shared" si="15"/>
        <v>93285</v>
      </c>
      <c r="F47" s="431">
        <f t="shared" si="15"/>
        <v>136370</v>
      </c>
      <c r="G47" s="431">
        <f t="shared" si="15"/>
        <v>136370</v>
      </c>
      <c r="H47" s="431">
        <f t="shared" si="15"/>
        <v>160270</v>
      </c>
      <c r="I47" s="431">
        <f t="shared" si="15"/>
        <v>160270</v>
      </c>
      <c r="J47" s="431">
        <f t="shared" si="15"/>
        <v>160270</v>
      </c>
      <c r="K47" s="431">
        <f t="shared" si="15"/>
        <v>160270</v>
      </c>
      <c r="L47" s="485"/>
      <c r="M47" s="354"/>
      <c r="N47" s="496"/>
      <c r="O47" s="354"/>
      <c r="P47" s="353"/>
    </row>
    <row r="48" spans="1:16" s="344" customFormat="1" ht="22.5" customHeight="1">
      <c r="A48" s="478" t="s">
        <v>277</v>
      </c>
      <c r="B48" s="467"/>
      <c r="C48" s="457">
        <f>C47-C45</f>
        <v>-17068.759530000054</v>
      </c>
      <c r="D48" s="382">
        <f aca="true" t="shared" si="16" ref="D48:J48">D47-D45</f>
        <v>-31079.43014597136</v>
      </c>
      <c r="E48" s="382">
        <f t="shared" si="16"/>
        <v>-46861.57999721894</v>
      </c>
      <c r="F48" s="382">
        <f t="shared" si="16"/>
        <v>-24749.229842493573</v>
      </c>
      <c r="G48" s="382">
        <f t="shared" si="16"/>
        <v>-45721.8796877682</v>
      </c>
      <c r="H48" s="382">
        <f t="shared" si="16"/>
        <v>-42794.529533042834</v>
      </c>
      <c r="I48" s="382">
        <f t="shared" si="16"/>
        <v>-42794.529533042834</v>
      </c>
      <c r="J48" s="382">
        <f t="shared" si="16"/>
        <v>-42794.529533042834</v>
      </c>
      <c r="K48" s="448">
        <f>K47-K45</f>
        <v>-4.7533800000092015</v>
      </c>
      <c r="L48" s="485"/>
      <c r="M48" s="354"/>
      <c r="N48" s="496"/>
      <c r="O48" s="354"/>
      <c r="P48" s="353"/>
    </row>
    <row r="49" spans="1:15" s="355" customFormat="1" ht="22.5" customHeight="1" thickBot="1">
      <c r="A49" s="479" t="s">
        <v>278</v>
      </c>
      <c r="B49" s="468"/>
      <c r="C49" s="459">
        <f>$B$45-C47</f>
        <v>66985</v>
      </c>
      <c r="D49" s="459">
        <f aca="true" t="shared" si="17" ref="D49:K49">$B$45-D47</f>
        <v>66985</v>
      </c>
      <c r="E49" s="459">
        <f t="shared" si="17"/>
        <v>66985</v>
      </c>
      <c r="F49" s="459">
        <f t="shared" si="17"/>
        <v>23900</v>
      </c>
      <c r="G49" s="459">
        <f t="shared" si="17"/>
        <v>23900</v>
      </c>
      <c r="H49" s="459">
        <f t="shared" si="17"/>
        <v>0</v>
      </c>
      <c r="I49" s="459">
        <f t="shared" si="17"/>
        <v>0</v>
      </c>
      <c r="J49" s="459">
        <f t="shared" si="17"/>
        <v>0</v>
      </c>
      <c r="K49" s="459">
        <f t="shared" si="17"/>
        <v>0</v>
      </c>
      <c r="L49" s="352"/>
      <c r="M49" s="492">
        <f>M46-M39</f>
        <v>0</v>
      </c>
      <c r="N49" s="352"/>
      <c r="O49" s="492"/>
    </row>
    <row r="50" spans="1:12" ht="12.75">
      <c r="A50" s="929" t="s">
        <v>279</v>
      </c>
      <c r="B50" s="929"/>
      <c r="C50" s="929"/>
      <c r="D50" s="929"/>
      <c r="E50" s="929"/>
      <c r="F50" s="929"/>
      <c r="G50" s="929"/>
      <c r="H50" s="929"/>
      <c r="I50" s="929"/>
      <c r="J50" s="929"/>
      <c r="K50" s="929"/>
      <c r="L50" s="360"/>
    </row>
    <row r="51" spans="1:12" ht="12.75">
      <c r="A51" s="929" t="s">
        <v>280</v>
      </c>
      <c r="B51" s="929"/>
      <c r="C51" s="929"/>
      <c r="D51" s="929"/>
      <c r="E51" s="929"/>
      <c r="F51" s="929"/>
      <c r="G51" s="929"/>
      <c r="H51" s="929"/>
      <c r="I51" s="929"/>
      <c r="J51" s="929"/>
      <c r="K51" s="929"/>
      <c r="L51" s="360"/>
    </row>
    <row r="52" spans="1:12" ht="12.75">
      <c r="A52" s="360"/>
      <c r="B52" s="360"/>
      <c r="C52" s="360"/>
      <c r="D52" s="360"/>
      <c r="E52" s="361"/>
      <c r="F52" s="360"/>
      <c r="G52" s="360"/>
      <c r="H52" s="360"/>
      <c r="I52" s="360"/>
      <c r="J52" s="360"/>
      <c r="K52" s="360"/>
      <c r="L52" s="360"/>
    </row>
    <row r="53" spans="1:14" ht="18" customHeight="1">
      <c r="A53" s="362"/>
      <c r="B53" s="363"/>
      <c r="C53" s="364"/>
      <c r="D53" s="364"/>
      <c r="E53" s="364"/>
      <c r="F53" s="364"/>
      <c r="G53" s="364"/>
      <c r="H53" s="364"/>
      <c r="I53" s="364"/>
      <c r="J53" s="364"/>
      <c r="K53" s="364"/>
      <c r="L53" s="365"/>
      <c r="M53" s="366"/>
      <c r="N53" s="367"/>
    </row>
    <row r="54" spans="1:14" ht="8.25" customHeight="1">
      <c r="A54" s="368"/>
      <c r="B54" s="369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70"/>
      <c r="N54" s="367"/>
    </row>
    <row r="55" spans="1:15" ht="18" customHeight="1">
      <c r="A55" s="368"/>
      <c r="B55" s="931"/>
      <c r="C55" s="931"/>
      <c r="D55" s="931"/>
      <c r="E55" s="931"/>
      <c r="F55" s="931"/>
      <c r="G55" s="931"/>
      <c r="H55" s="931"/>
      <c r="I55" s="931"/>
      <c r="J55" s="931"/>
      <c r="K55" s="931"/>
      <c r="L55" s="931"/>
      <c r="M55" s="932"/>
      <c r="N55" s="371"/>
      <c r="O55" s="373"/>
    </row>
    <row r="56" spans="1:15" ht="8.25" customHeight="1">
      <c r="A56" s="368"/>
      <c r="B56" s="371"/>
      <c r="C56" s="371"/>
      <c r="D56" s="371"/>
      <c r="E56" s="371"/>
      <c r="F56" s="371"/>
      <c r="G56" s="371"/>
      <c r="H56" s="371"/>
      <c r="I56" s="371"/>
      <c r="J56" s="371"/>
      <c r="K56" s="371"/>
      <c r="L56" s="371"/>
      <c r="M56" s="372"/>
      <c r="N56" s="371"/>
      <c r="O56" s="374"/>
    </row>
    <row r="57" spans="1:15" ht="14.25">
      <c r="A57" s="375"/>
      <c r="B57" s="927"/>
      <c r="C57" s="927"/>
      <c r="D57" s="927"/>
      <c r="E57" s="927"/>
      <c r="F57" s="927"/>
      <c r="G57" s="927"/>
      <c r="H57" s="927"/>
      <c r="I57" s="927"/>
      <c r="J57" s="927"/>
      <c r="K57" s="927"/>
      <c r="L57" s="927"/>
      <c r="M57" s="928"/>
      <c r="N57" s="376"/>
      <c r="O57" s="344"/>
    </row>
    <row r="58" ht="12.75">
      <c r="O58" s="344"/>
    </row>
    <row r="59" ht="12.75">
      <c r="A59" s="377"/>
    </row>
    <row r="60" ht="5.25" customHeight="1"/>
    <row r="61" spans="1:2" ht="12.75">
      <c r="A61" s="702"/>
      <c r="B61" s="337"/>
    </row>
    <row r="62" ht="5.25" customHeight="1">
      <c r="A62" s="703"/>
    </row>
    <row r="63" ht="12.75">
      <c r="A63" s="703"/>
    </row>
    <row r="64" ht="5.25" customHeight="1">
      <c r="A64" s="703"/>
    </row>
    <row r="65" ht="12.75">
      <c r="A65" s="704"/>
    </row>
    <row r="66" ht="8.25" customHeight="1">
      <c r="A66" s="703"/>
    </row>
    <row r="67" ht="12.75">
      <c r="A67" s="703"/>
    </row>
    <row r="68" spans="1:13" ht="12.75">
      <c r="A68" s="378"/>
      <c r="K68" s="938" t="s">
        <v>320</v>
      </c>
      <c r="L68" s="938"/>
      <c r="M68" s="938"/>
    </row>
    <row r="70" spans="11:13" ht="13.5">
      <c r="K70" s="618" t="s">
        <v>319</v>
      </c>
      <c r="M70" s="431">
        <f>('MUCEM J4 J471'!I174+'Rénov MH Fort St Jean J472'!I74+'paysagiste J473'!I36+'2nd Oe + Access FSJ J474'!I32+'Muséo J4 J475'!I41+'Muséo Fort St Jean J476'!I39)/1000</f>
        <v>13117.528199999999</v>
      </c>
    </row>
    <row r="71" spans="11:13" ht="13.5">
      <c r="K71" s="615" t="s">
        <v>163</v>
      </c>
      <c r="M71" s="431">
        <f>('MUCEM J4 J471'!I176+'Rénov MH Fort St Jean J472'!I76+'paysagiste J473'!I38+'2nd Oe + Access FSJ J474'!I34+'Muséo J4 J475'!I43+'Muséo Fort St Jean J476'!I41)/1000</f>
        <v>2055.5405600000004</v>
      </c>
    </row>
    <row r="72" spans="11:13" ht="13.5">
      <c r="K72" s="616" t="s">
        <v>318</v>
      </c>
      <c r="M72" s="431">
        <f>(('MUCEM J4 J471'!I178+'Rénov MH Fort St Jean J472'!I78+'paysagiste J473'!I40+'2nd Oe + Access FSJ J474'!I36+'Muséo J4 J475'!I45+'Muséo Fort St Jean J476'!I43)/1000)-731</f>
        <v>2066.9423</v>
      </c>
    </row>
    <row r="73" spans="11:13" ht="13.5">
      <c r="K73" s="617" t="s">
        <v>167</v>
      </c>
      <c r="M73" s="431">
        <f>('MUCEM J4 J471'!I180+'Rénov MH Fort St Jean J472'!I80+'paysagiste J473'!I42+'2nd Oe + Access FSJ J474'!I38+'Muséo J4 J475'!I47+'Muséo Fort St Jean J476'!I45)/1000</f>
        <v>116515.35531999999</v>
      </c>
    </row>
    <row r="74" spans="11:13" ht="13.5">
      <c r="K74" s="619" t="s">
        <v>169</v>
      </c>
      <c r="M74" s="431">
        <f>('MUCEM J4 J471'!I184+'Rénov MH Fort St Jean J472'!I84+'paysagiste J473'!I46+'2nd Oe + Access FSJ J474'!I42+'Muséo J4 J475'!I51+'Muséo Fort St Jean J476'!I49)/1000</f>
        <v>6641.47597</v>
      </c>
    </row>
    <row r="77" spans="11:13" ht="12.75">
      <c r="K77" s="939" t="s">
        <v>321</v>
      </c>
      <c r="L77" s="939"/>
      <c r="M77" s="939"/>
    </row>
    <row r="79" spans="11:13" ht="13.5">
      <c r="K79" s="618" t="s">
        <v>319</v>
      </c>
      <c r="M79" s="431">
        <f>('MUCEM J4 J471'!J174+'Rénov MH Fort St Jean J472'!J74+'paysagiste J473'!J36+'2nd Oe + Access FSJ J474'!J32+'Muséo J4 J475'!J41+'Muséo Fort St Jean J476'!J39)/1000</f>
        <v>10746.700599999998</v>
      </c>
    </row>
    <row r="80" spans="11:13" ht="13.5">
      <c r="K80" s="615" t="s">
        <v>163</v>
      </c>
      <c r="M80" s="431">
        <f>('MUCEM J4 J471'!J176+'Rénov MH Fort St Jean J472'!J76+'paysagiste J473'!J38+'2nd Oe + Access FSJ J474'!J34+'Muséo J4 J475'!J43+'Muséo Fort St Jean J476'!J41)/1000</f>
        <v>1759.7005500000002</v>
      </c>
    </row>
    <row r="81" spans="11:13" ht="13.5">
      <c r="K81" s="616" t="s">
        <v>318</v>
      </c>
      <c r="M81" s="431">
        <f>(('MUCEM J4 J471'!J178+'Rénov MH Fort St Jean J472'!J78+'paysagiste J473'!J40+'2nd Oe + Access FSJ J474'!J36+'Muséo J4 J475'!J45+'Muséo Fort St Jean J476'!J43)/1000)-731</f>
        <v>1628.9336099999996</v>
      </c>
    </row>
    <row r="82" spans="11:13" ht="13.5">
      <c r="K82" s="617" t="s">
        <v>167</v>
      </c>
      <c r="M82" s="431">
        <f>('MUCEM J4 J471'!J180+'Rénov MH Fort St Jean J472'!J80+'paysagiste J473'!J42+'2nd Oe + Access FSJ J474'!J38+'Muséo J4 J475'!J47+'Muséo Fort St Jean J476'!J45)/1000</f>
        <v>90697.01339000004</v>
      </c>
    </row>
    <row r="83" spans="11:13" ht="13.5">
      <c r="K83" s="619" t="s">
        <v>169</v>
      </c>
      <c r="M83" s="431">
        <f>('MUCEM J4 J471'!J184+'Rénov MH Fort St Jean J472'!J84+'paysagiste J473'!J46+'2nd Oe + Access FSJ J474'!J42+'Muséo J4 J475'!J51+'Muséo Fort St Jean J476'!J49)/1000</f>
        <v>4785.657999999999</v>
      </c>
    </row>
    <row r="85" spans="11:13" ht="12.75">
      <c r="K85" s="676" t="s">
        <v>338</v>
      </c>
      <c r="L85" s="676"/>
      <c r="M85" s="676">
        <f>'MuCEM J4 Trx J471'!G29+'Rénov MH Fort St Jean J 472'!G28+'FSJ Paysage J473'!G27+'Trx SO + AccesFort St Jean J474'!H28+'Muséo sur J4 J475'!G28+'Muséo Fort Saint Jean J476'!G28</f>
        <v>12255</v>
      </c>
    </row>
    <row r="86" spans="11:13" ht="12.75">
      <c r="K86" s="676" t="s">
        <v>337</v>
      </c>
      <c r="L86" s="676"/>
      <c r="M86" s="677">
        <f>'MuCEM J4 Trx J471'!G30+'Rénov MH Fort St Jean J 472'!G29+'FSJ Paysage J473'!G28+'Trx SO + AccesFort St Jean J474'!H29+'Muséo sur J4 J475'!G29+'Muséo Fort Saint Jean J476'!G29</f>
        <v>731.3535832768723</v>
      </c>
    </row>
    <row r="87" spans="11:13" ht="12.75">
      <c r="K87" s="678" t="s">
        <v>339</v>
      </c>
      <c r="L87" s="676"/>
      <c r="M87" s="679">
        <f>M86+M85</f>
        <v>12986.353583276872</v>
      </c>
    </row>
  </sheetData>
  <sheetProtection/>
  <mergeCells count="17">
    <mergeCell ref="K68:M68"/>
    <mergeCell ref="K77:M77"/>
    <mergeCell ref="O5:O9"/>
    <mergeCell ref="C7:C9"/>
    <mergeCell ref="C5:K5"/>
    <mergeCell ref="C6:K6"/>
    <mergeCell ref="G7:J8"/>
    <mergeCell ref="D7:F8"/>
    <mergeCell ref="A5:B9"/>
    <mergeCell ref="B57:M57"/>
    <mergeCell ref="A50:K50"/>
    <mergeCell ref="A51:K51"/>
    <mergeCell ref="C30:K30"/>
    <mergeCell ref="B55:M55"/>
    <mergeCell ref="K7:K9"/>
    <mergeCell ref="M5:M7"/>
    <mergeCell ref="C10:K10"/>
  </mergeCells>
  <conditionalFormatting sqref="B11:B29 D29:J29 B28:N28 C22:C29 C11:C20 D22:G24 M79:M83 H19:J24 D19:G20 D25:J27 K11:N29 M70:M74 D11:J18 B31:N49">
    <cfRule type="cellIs" priority="1" dxfId="1" operator="lessThan" stopIfTrue="1">
      <formula>0</formula>
    </cfRule>
  </conditionalFormatting>
  <conditionalFormatting sqref="O31:O45 O11:O25">
    <cfRule type="cellIs" priority="2" dxfId="0" operator="greaterThan" stopIfTrue="1">
      <formula>0</formula>
    </cfRule>
  </conditionalFormatting>
  <printOptions/>
  <pageMargins left="0.8267716535433072" right="0.4724409448818898" top="0.6692913385826772" bottom="0.6692913385826772" header="0.5118110236220472" footer="0.5118110236220472"/>
  <pageSetup cellComments="asDisplayed" fitToHeight="1" fitToWidth="1" horizontalDpi="600" verticalDpi="600" orientation="landscape" paperSize="8" scale="62" r:id="rId4"/>
  <headerFooter alignWithMargins="0">
    <oddFooter>&amp;LSetec organisation&amp;C&amp;F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G44"/>
  <sheetViews>
    <sheetView zoomScalePageLayoutView="0" workbookViewId="0" topLeftCell="A7">
      <selection activeCell="H39" sqref="H39"/>
    </sheetView>
  </sheetViews>
  <sheetFormatPr defaultColWidth="11.421875" defaultRowHeight="12.75"/>
  <sheetData>
    <row r="12" ht="13.5" thickBot="1"/>
    <row r="13" spans="1:7" ht="12.75">
      <c r="A13" s="624"/>
      <c r="B13" s="625"/>
      <c r="C13" s="625"/>
      <c r="D13" s="625"/>
      <c r="E13" s="625"/>
      <c r="F13" s="625"/>
      <c r="G13" s="626"/>
    </row>
    <row r="14" spans="1:7" ht="13.5">
      <c r="A14" s="949" t="s">
        <v>322</v>
      </c>
      <c r="B14" s="948"/>
      <c r="C14" s="948"/>
      <c r="D14" s="948"/>
      <c r="E14" s="948"/>
      <c r="F14" s="948"/>
      <c r="G14" s="950"/>
    </row>
    <row r="15" spans="1:7" ht="13.5" thickBot="1">
      <c r="A15" s="621"/>
      <c r="B15" s="622"/>
      <c r="C15" s="622"/>
      <c r="D15" s="622"/>
      <c r="E15" s="622"/>
      <c r="F15" s="622"/>
      <c r="G15" s="623"/>
    </row>
    <row r="25" ht="13.5" thickBot="1"/>
    <row r="26" spans="1:7" ht="12.75">
      <c r="A26" s="624"/>
      <c r="B26" s="625"/>
      <c r="C26" s="625"/>
      <c r="D26" s="625"/>
      <c r="E26" s="625"/>
      <c r="F26" s="625"/>
      <c r="G26" s="626"/>
    </row>
    <row r="27" spans="1:7" ht="15.75" customHeight="1">
      <c r="A27" s="949" t="s">
        <v>323</v>
      </c>
      <c r="B27" s="948"/>
      <c r="C27" s="948"/>
      <c r="D27" s="948"/>
      <c r="E27" s="948"/>
      <c r="F27" s="948"/>
      <c r="G27" s="950"/>
    </row>
    <row r="28" spans="1:7" ht="12.75" customHeight="1" thickBot="1">
      <c r="A28" s="621"/>
      <c r="B28" s="622"/>
      <c r="C28" s="622"/>
      <c r="D28" s="622"/>
      <c r="E28" s="622"/>
      <c r="F28" s="622"/>
      <c r="G28" s="623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8" ht="13.5" thickBot="1"/>
    <row r="39" spans="1:7" ht="12.75">
      <c r="A39" s="624"/>
      <c r="B39" s="625"/>
      <c r="C39" s="625"/>
      <c r="D39" s="625"/>
      <c r="E39" s="625"/>
      <c r="F39" s="625"/>
      <c r="G39" s="626"/>
    </row>
    <row r="40" spans="1:7" ht="12.75" customHeight="1">
      <c r="A40" s="949" t="s">
        <v>324</v>
      </c>
      <c r="B40" s="948"/>
      <c r="C40" s="948"/>
      <c r="D40" s="948"/>
      <c r="E40" s="948"/>
      <c r="F40" s="948"/>
      <c r="G40" s="950"/>
    </row>
    <row r="41" spans="1:7" ht="12.75">
      <c r="A41" s="620"/>
      <c r="B41" s="25"/>
      <c r="C41" s="25"/>
      <c r="D41" s="25"/>
      <c r="E41" s="25"/>
      <c r="F41" s="25"/>
      <c r="G41" s="33"/>
    </row>
    <row r="42" spans="1:7" ht="12.75">
      <c r="A42" s="620"/>
      <c r="B42" s="25"/>
      <c r="C42" s="25"/>
      <c r="D42" s="25"/>
      <c r="E42" s="25"/>
      <c r="F42" s="25"/>
      <c r="G42" s="33"/>
    </row>
    <row r="43" spans="1:7" ht="13.5">
      <c r="A43" s="620"/>
      <c r="B43" s="25"/>
      <c r="C43" s="948" t="s">
        <v>481</v>
      </c>
      <c r="D43" s="948"/>
      <c r="E43" s="948"/>
      <c r="F43" s="25"/>
      <c r="G43" s="33"/>
    </row>
    <row r="44" spans="1:7" ht="13.5" thickBot="1">
      <c r="A44" s="621"/>
      <c r="B44" s="622"/>
      <c r="C44" s="622"/>
      <c r="D44" s="622"/>
      <c r="E44" s="622"/>
      <c r="F44" s="622"/>
      <c r="G44" s="623"/>
    </row>
  </sheetData>
  <sheetProtection/>
  <mergeCells count="4">
    <mergeCell ref="C43:E43"/>
    <mergeCell ref="A14:G14"/>
    <mergeCell ref="A27:G27"/>
    <mergeCell ref="A40:G40"/>
  </mergeCells>
  <printOptions/>
  <pageMargins left="0.75" right="0.75" top="1" bottom="1" header="0.4921259845" footer="0.4921259845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7:N247"/>
  <sheetViews>
    <sheetView zoomScalePageLayoutView="0" workbookViewId="0" topLeftCell="A184">
      <selection activeCell="M225" sqref="M225"/>
    </sheetView>
  </sheetViews>
  <sheetFormatPr defaultColWidth="11.421875" defaultRowHeight="12.75"/>
  <cols>
    <col min="1" max="1" width="13.57421875" style="0" customWidth="1"/>
    <col min="2" max="5" width="22.7109375" style="0" customWidth="1"/>
    <col min="7" max="7" width="17.28125" style="0" customWidth="1"/>
    <col min="8" max="9" width="13.7109375" style="0" bestFit="1" customWidth="1"/>
    <col min="10" max="10" width="11.7109375" style="0" bestFit="1" customWidth="1"/>
    <col min="11" max="11" width="21.7109375" style="0" customWidth="1"/>
    <col min="14" max="14" width="13.7109375" style="0" bestFit="1" customWidth="1"/>
  </cols>
  <sheetData>
    <row r="7" spans="1:5" ht="12.75">
      <c r="A7" s="239"/>
      <c r="B7" s="240"/>
      <c r="C7" s="240"/>
      <c r="D7" s="240"/>
      <c r="E7" s="240"/>
    </row>
    <row r="8" spans="1:5" ht="12.75">
      <c r="A8" s="239"/>
      <c r="B8" s="240"/>
      <c r="C8" s="240"/>
      <c r="D8" s="240"/>
      <c r="E8" s="240"/>
    </row>
    <row r="9" spans="1:5" ht="12.75">
      <c r="A9" s="241" t="s">
        <v>171</v>
      </c>
      <c r="B9" s="242"/>
      <c r="C9" s="242"/>
      <c r="D9" s="242"/>
      <c r="E9" s="243"/>
    </row>
    <row r="10" spans="1:5" ht="12.75">
      <c r="A10" s="244"/>
      <c r="B10" s="240"/>
      <c r="C10" s="240"/>
      <c r="D10" s="240"/>
      <c r="E10" s="245"/>
    </row>
    <row r="11" spans="1:5" ht="12.75">
      <c r="A11" s="244" t="s">
        <v>172</v>
      </c>
      <c r="B11" s="240"/>
      <c r="C11" s="240"/>
      <c r="D11" s="240"/>
      <c r="E11" s="246" t="s">
        <v>173</v>
      </c>
    </row>
    <row r="12" spans="1:5" ht="12.75">
      <c r="A12" s="244"/>
      <c r="B12" s="240"/>
      <c r="C12" s="240"/>
      <c r="D12" s="240"/>
      <c r="E12" s="245"/>
    </row>
    <row r="13" spans="1:5" ht="12.75">
      <c r="A13" s="244" t="s">
        <v>174</v>
      </c>
      <c r="B13" s="240"/>
      <c r="C13" s="240"/>
      <c r="D13" s="240"/>
      <c r="E13" s="245"/>
    </row>
    <row r="14" spans="1:5" ht="12.75">
      <c r="A14" s="244"/>
      <c r="B14" s="240" t="s">
        <v>175</v>
      </c>
      <c r="C14" s="240"/>
      <c r="D14" s="240"/>
      <c r="E14" s="245"/>
    </row>
    <row r="15" spans="1:5" ht="12.75">
      <c r="A15" s="244" t="s">
        <v>176</v>
      </c>
      <c r="B15" s="240"/>
      <c r="C15" s="240"/>
      <c r="D15" s="240"/>
      <c r="E15" s="245"/>
    </row>
    <row r="16" spans="1:5" ht="12.75">
      <c r="A16" s="244"/>
      <c r="B16" s="240"/>
      <c r="C16" s="240"/>
      <c r="D16" s="240"/>
      <c r="E16" s="245"/>
    </row>
    <row r="17" spans="1:5" ht="12.75">
      <c r="A17" s="244" t="s">
        <v>177</v>
      </c>
      <c r="B17" s="240"/>
      <c r="C17" s="247">
        <v>160270000</v>
      </c>
      <c r="D17" s="248" t="s">
        <v>178</v>
      </c>
      <c r="E17" s="249">
        <f>C17</f>
        <v>160270000</v>
      </c>
    </row>
    <row r="18" spans="1:5" ht="12.75">
      <c r="A18" s="954" t="s">
        <v>179</v>
      </c>
      <c r="B18" s="955"/>
      <c r="C18" s="247">
        <f>C17-C19</f>
        <v>102220000</v>
      </c>
      <c r="D18" s="247"/>
      <c r="E18" s="249"/>
    </row>
    <row r="19" spans="1:5" ht="12.75">
      <c r="A19" s="954" t="s">
        <v>180</v>
      </c>
      <c r="B19" s="955"/>
      <c r="C19" s="247">
        <v>58050000</v>
      </c>
      <c r="D19" s="247"/>
      <c r="E19" s="249" t="s">
        <v>181</v>
      </c>
    </row>
    <row r="20" spans="1:5" ht="12.75">
      <c r="A20" s="250"/>
      <c r="B20" s="251"/>
      <c r="C20" s="252"/>
      <c r="D20" s="253"/>
      <c r="E20" s="254"/>
    </row>
    <row r="21" spans="1:5" ht="12.75">
      <c r="A21" s="255"/>
      <c r="B21" s="256"/>
      <c r="C21" s="256"/>
      <c r="D21" s="256"/>
      <c r="E21" s="256"/>
    </row>
    <row r="22" spans="1:5" ht="13.5" thickBot="1">
      <c r="A22" s="255"/>
      <c r="B22" s="256"/>
      <c r="C22" s="256"/>
      <c r="D22" s="256"/>
      <c r="E22" s="256"/>
    </row>
    <row r="23" spans="1:5" ht="13.5" thickTop="1">
      <c r="A23" s="257"/>
      <c r="B23" s="258" t="s">
        <v>182</v>
      </c>
      <c r="C23" s="259" t="s">
        <v>182</v>
      </c>
      <c r="D23" s="259" t="s">
        <v>183</v>
      </c>
      <c r="E23" s="259" t="s">
        <v>184</v>
      </c>
    </row>
    <row r="24" spans="1:5" ht="12.75">
      <c r="A24" s="260"/>
      <c r="B24" s="261" t="s">
        <v>185</v>
      </c>
      <c r="C24" s="262" t="s">
        <v>186</v>
      </c>
      <c r="D24" s="262" t="s">
        <v>187</v>
      </c>
      <c r="E24" s="262" t="s">
        <v>188</v>
      </c>
    </row>
    <row r="25" spans="1:5" ht="12.75">
      <c r="A25" s="263"/>
      <c r="B25" s="256"/>
      <c r="C25" s="256"/>
      <c r="D25" s="256"/>
      <c r="E25" s="256"/>
    </row>
    <row r="26" spans="1:5" ht="12.75">
      <c r="A26" s="264"/>
      <c r="B26" s="265"/>
      <c r="C26" s="265"/>
      <c r="D26" s="265"/>
      <c r="E26" s="265"/>
    </row>
    <row r="27" spans="1:5" ht="12.75">
      <c r="A27" s="266">
        <v>2008</v>
      </c>
      <c r="B27" s="267">
        <v>9000000</v>
      </c>
      <c r="C27" s="268">
        <f>5000000+4000000</f>
        <v>9000000</v>
      </c>
      <c r="D27" s="268">
        <v>0</v>
      </c>
      <c r="E27" s="267"/>
    </row>
    <row r="28" spans="1:5" ht="12.75">
      <c r="A28" s="269" t="s">
        <v>189</v>
      </c>
      <c r="B28" s="270">
        <f>B27</f>
        <v>9000000</v>
      </c>
      <c r="C28" s="270">
        <f>C27</f>
        <v>9000000</v>
      </c>
      <c r="D28" s="270">
        <f>D27</f>
        <v>0</v>
      </c>
      <c r="E28" s="271"/>
    </row>
    <row r="29" spans="1:5" ht="12.75">
      <c r="A29" s="269"/>
      <c r="B29" s="270"/>
      <c r="C29" s="270"/>
      <c r="D29" s="270"/>
      <c r="E29" s="271"/>
    </row>
    <row r="30" spans="1:5" ht="12.75">
      <c r="A30" s="266">
        <v>2009</v>
      </c>
      <c r="B30" s="267">
        <v>77830500</v>
      </c>
      <c r="C30" s="268">
        <v>77830500</v>
      </c>
      <c r="D30" s="268">
        <v>15381319.44</v>
      </c>
      <c r="E30" s="267"/>
    </row>
    <row r="31" spans="1:5" ht="12.75">
      <c r="A31" s="269" t="s">
        <v>189</v>
      </c>
      <c r="B31" s="270">
        <f>B30+B28</f>
        <v>86830500</v>
      </c>
      <c r="C31" s="270">
        <f>C30+C28</f>
        <v>86830500</v>
      </c>
      <c r="D31" s="270">
        <f>D30+D28</f>
        <v>15381319.44</v>
      </c>
      <c r="E31" s="267"/>
    </row>
    <row r="32" spans="1:5" ht="12.75">
      <c r="A32" s="269"/>
      <c r="B32" s="270"/>
      <c r="C32" s="270"/>
      <c r="D32" s="270"/>
      <c r="E32" s="267"/>
    </row>
    <row r="33" spans="1:5" ht="12.75">
      <c r="A33" s="266">
        <v>2010</v>
      </c>
      <c r="B33" s="267">
        <v>23364742</v>
      </c>
      <c r="C33" s="267">
        <v>23364742</v>
      </c>
      <c r="D33" s="267">
        <f>D34-D31</f>
        <v>66593277.21000001</v>
      </c>
      <c r="E33" s="267"/>
    </row>
    <row r="34" spans="1:5" ht="12.75">
      <c r="A34" s="269" t="s">
        <v>189</v>
      </c>
      <c r="B34" s="270">
        <f>B33+B31</f>
        <v>110195242</v>
      </c>
      <c r="C34" s="270">
        <f>C33+C31</f>
        <v>110195242</v>
      </c>
      <c r="D34" s="270">
        <f>88574596.65-6600000</f>
        <v>81974596.65</v>
      </c>
      <c r="E34" s="267"/>
    </row>
    <row r="35" spans="1:5" ht="12.75">
      <c r="A35" s="269"/>
      <c r="B35" s="270"/>
      <c r="C35" s="270"/>
      <c r="D35" s="270"/>
      <c r="E35" s="267"/>
    </row>
    <row r="36" spans="1:5" ht="12.75">
      <c r="A36" s="266">
        <v>2011</v>
      </c>
      <c r="B36" s="267">
        <v>37745258</v>
      </c>
      <c r="C36" s="268">
        <v>37745258</v>
      </c>
      <c r="D36" s="268">
        <f>D37-D34</f>
        <v>7595180.049999997</v>
      </c>
      <c r="E36" s="267"/>
    </row>
    <row r="37" spans="1:5" ht="12.75">
      <c r="A37" s="269" t="s">
        <v>189</v>
      </c>
      <c r="B37" s="270">
        <f>B36+B34</f>
        <v>147940500</v>
      </c>
      <c r="C37" s="270">
        <f>C36+C34</f>
        <v>147940500</v>
      </c>
      <c r="D37" s="270">
        <f>96169776.7-6600000</f>
        <v>89569776.7</v>
      </c>
      <c r="E37" s="271"/>
    </row>
    <row r="38" spans="1:5" ht="12.75">
      <c r="A38" s="269"/>
      <c r="B38" s="270"/>
      <c r="C38" s="270"/>
      <c r="D38" s="270"/>
      <c r="E38" s="267"/>
    </row>
    <row r="39" spans="1:5" ht="12.75">
      <c r="A39" s="266">
        <v>2012</v>
      </c>
      <c r="B39" s="267">
        <f>13240000-1910500</f>
        <v>11329500</v>
      </c>
      <c r="C39" s="268">
        <v>0</v>
      </c>
      <c r="D39" s="268">
        <f>D40-D37</f>
        <v>0</v>
      </c>
      <c r="E39" s="267"/>
    </row>
    <row r="40" spans="1:5" ht="12.75">
      <c r="A40" s="269" t="s">
        <v>189</v>
      </c>
      <c r="B40" s="270">
        <f>B39+B37</f>
        <v>159270000</v>
      </c>
      <c r="C40" s="270">
        <f>C39+C37</f>
        <v>147940500</v>
      </c>
      <c r="D40" s="270">
        <f>D37</f>
        <v>89569776.7</v>
      </c>
      <c r="E40" s="267"/>
    </row>
    <row r="41" spans="1:5" ht="12.75">
      <c r="A41" s="269"/>
      <c r="B41" s="270"/>
      <c r="C41" s="270"/>
      <c r="D41" s="270"/>
      <c r="E41" s="267"/>
    </row>
    <row r="42" spans="1:5" ht="12.75">
      <c r="A42" s="266">
        <v>2013</v>
      </c>
      <c r="B42" s="267">
        <v>1000000</v>
      </c>
      <c r="C42" s="268">
        <v>0</v>
      </c>
      <c r="D42" s="268">
        <f>D43-D40</f>
        <v>0</v>
      </c>
      <c r="E42" s="267"/>
    </row>
    <row r="43" spans="1:7" ht="12.75">
      <c r="A43" s="269" t="s">
        <v>189</v>
      </c>
      <c r="B43" s="270">
        <f>B42+B40</f>
        <v>160270000</v>
      </c>
      <c r="C43" s="270">
        <f>C42+C40</f>
        <v>147940500</v>
      </c>
      <c r="D43" s="270">
        <f>D40</f>
        <v>89569776.7</v>
      </c>
      <c r="E43" s="267"/>
      <c r="G43" s="272"/>
    </row>
    <row r="44" spans="1:5" ht="12.75">
      <c r="A44" s="269"/>
      <c r="B44" s="270"/>
      <c r="C44" s="270"/>
      <c r="D44" s="270"/>
      <c r="E44" s="267"/>
    </row>
    <row r="45" spans="1:5" ht="12.75" customHeight="1">
      <c r="A45" s="266">
        <v>2014</v>
      </c>
      <c r="B45" s="268">
        <v>0</v>
      </c>
      <c r="C45" s="268">
        <v>0</v>
      </c>
      <c r="D45" s="268">
        <f>D46-D43</f>
        <v>0</v>
      </c>
      <c r="E45" s="267"/>
    </row>
    <row r="46" spans="1:5" ht="12.75">
      <c r="A46" s="269" t="s">
        <v>189</v>
      </c>
      <c r="B46" s="270">
        <f>B45+B43</f>
        <v>160270000</v>
      </c>
      <c r="C46" s="270">
        <f>C45+C43</f>
        <v>147940500</v>
      </c>
      <c r="D46" s="270">
        <f>D43</f>
        <v>89569776.7</v>
      </c>
      <c r="E46" s="267"/>
    </row>
    <row r="47" spans="1:5" ht="12.75">
      <c r="A47" s="262"/>
      <c r="B47" s="273"/>
      <c r="C47" s="273"/>
      <c r="D47" s="273"/>
      <c r="E47" s="273"/>
    </row>
    <row r="48" spans="1:5" ht="12.75">
      <c r="A48" s="263"/>
      <c r="B48" s="256"/>
      <c r="C48" s="256"/>
      <c r="D48" s="256"/>
      <c r="E48" s="256"/>
    </row>
    <row r="49" spans="1:5" ht="13.5" thickBot="1">
      <c r="A49" s="263"/>
      <c r="B49" s="256"/>
      <c r="C49" s="256"/>
      <c r="D49" s="256"/>
      <c r="E49" s="256"/>
    </row>
    <row r="50" spans="1:5" ht="13.5" thickTop="1">
      <c r="A50" s="257"/>
      <c r="B50" s="258" t="s">
        <v>190</v>
      </c>
      <c r="C50" s="259" t="s">
        <v>190</v>
      </c>
      <c r="D50" s="259" t="s">
        <v>191</v>
      </c>
      <c r="E50" s="259" t="s">
        <v>190</v>
      </c>
    </row>
    <row r="51" spans="1:5" ht="12.75">
      <c r="A51" s="260"/>
      <c r="B51" s="261" t="s">
        <v>192</v>
      </c>
      <c r="C51" s="262" t="s">
        <v>193</v>
      </c>
      <c r="D51" s="262" t="s">
        <v>187</v>
      </c>
      <c r="E51" s="262" t="s">
        <v>194</v>
      </c>
    </row>
    <row r="52" spans="1:5" ht="12.75">
      <c r="A52" s="263"/>
      <c r="B52" s="256"/>
      <c r="C52" s="256"/>
      <c r="D52" s="256"/>
      <c r="E52" s="256"/>
    </row>
    <row r="53" spans="1:5" ht="12.75">
      <c r="A53" s="274"/>
      <c r="B53" s="275"/>
      <c r="C53" s="275"/>
      <c r="D53" s="275"/>
      <c r="E53" s="275"/>
    </row>
    <row r="54" spans="1:7" ht="12.75">
      <c r="A54" s="266">
        <v>2008</v>
      </c>
      <c r="B54" s="267">
        <v>5000000</v>
      </c>
      <c r="C54" s="268">
        <v>5000000</v>
      </c>
      <c r="D54" s="268">
        <v>0</v>
      </c>
      <c r="E54" s="267"/>
      <c r="G54" s="272"/>
    </row>
    <row r="55" spans="1:7" ht="12.75">
      <c r="A55" s="269" t="s">
        <v>189</v>
      </c>
      <c r="B55" s="270">
        <f>B54</f>
        <v>5000000</v>
      </c>
      <c r="C55" s="270">
        <f>C54</f>
        <v>5000000</v>
      </c>
      <c r="D55" s="270">
        <f>D54</f>
        <v>0</v>
      </c>
      <c r="E55" s="267"/>
      <c r="G55" s="272"/>
    </row>
    <row r="56" spans="1:5" ht="12.75">
      <c r="A56" s="269"/>
      <c r="B56" s="270"/>
      <c r="C56" s="270"/>
      <c r="D56" s="270"/>
      <c r="E56" s="267"/>
    </row>
    <row r="57" spans="1:5" ht="12.75">
      <c r="A57" s="266">
        <v>2009</v>
      </c>
      <c r="B57" s="267">
        <v>13404500</v>
      </c>
      <c r="C57" s="268">
        <v>13404500</v>
      </c>
      <c r="D57" s="268">
        <v>4780524.45</v>
      </c>
      <c r="E57" s="267"/>
    </row>
    <row r="58" spans="1:5" ht="12.75">
      <c r="A58" s="269" t="s">
        <v>189</v>
      </c>
      <c r="B58" s="270">
        <f>B57+B55</f>
        <v>18404500</v>
      </c>
      <c r="C58" s="270">
        <f>C57+C55</f>
        <v>18404500</v>
      </c>
      <c r="D58" s="270">
        <f>D57+D55</f>
        <v>4780524.45</v>
      </c>
      <c r="E58" s="267"/>
    </row>
    <row r="59" spans="1:5" ht="12.75">
      <c r="A59" s="269"/>
      <c r="B59" s="270"/>
      <c r="C59" s="270"/>
      <c r="D59" s="270"/>
      <c r="E59" s="267"/>
    </row>
    <row r="60" spans="1:5" ht="12.75">
      <c r="A60" s="266">
        <v>2010</v>
      </c>
      <c r="B60" s="267">
        <v>28504550</v>
      </c>
      <c r="C60" s="268">
        <f>21269550+1400000+5835000</f>
        <v>28504550</v>
      </c>
      <c r="D60" s="268">
        <f>D61-D58</f>
        <v>16992118.76</v>
      </c>
      <c r="E60" s="267"/>
    </row>
    <row r="61" spans="1:5" ht="12.75">
      <c r="A61" s="269" t="s">
        <v>189</v>
      </c>
      <c r="B61" s="270">
        <f>B60+B58</f>
        <v>46909050</v>
      </c>
      <c r="C61" s="270">
        <f>C60+C58</f>
        <v>46909050</v>
      </c>
      <c r="D61" s="270">
        <f>28368151.02-6595507.81</f>
        <v>21772643.21</v>
      </c>
      <c r="E61" s="267"/>
    </row>
    <row r="62" spans="1:5" ht="12.75">
      <c r="A62" s="269"/>
      <c r="B62" s="270"/>
      <c r="C62" s="270"/>
      <c r="D62" s="270"/>
      <c r="E62" s="267"/>
    </row>
    <row r="63" spans="1:5" ht="12.75">
      <c r="A63" s="266">
        <v>2011</v>
      </c>
      <c r="B63" s="268">
        <v>64380000</v>
      </c>
      <c r="C63" s="268">
        <f>4503000+37457000</f>
        <v>41960000</v>
      </c>
      <c r="D63" s="268">
        <f>D64-D61</f>
        <v>13980457.380000003</v>
      </c>
      <c r="E63" s="267"/>
    </row>
    <row r="64" spans="1:5" ht="12.75">
      <c r="A64" s="269" t="s">
        <v>189</v>
      </c>
      <c r="B64" s="270">
        <f>B63+B61</f>
        <v>111289050</v>
      </c>
      <c r="C64" s="270">
        <f>C63+C61</f>
        <v>88869050</v>
      </c>
      <c r="D64" s="270">
        <f>42353100.59-6600000</f>
        <v>35753100.59</v>
      </c>
      <c r="E64" s="271">
        <f>64380000-41960000</f>
        <v>22420000</v>
      </c>
    </row>
    <row r="65" spans="1:5" ht="12.75">
      <c r="A65" s="269"/>
      <c r="B65" s="270"/>
      <c r="C65" s="270"/>
      <c r="D65" s="270"/>
      <c r="E65" s="267"/>
    </row>
    <row r="66" spans="1:5" ht="12.75">
      <c r="A66" s="266">
        <v>2012</v>
      </c>
      <c r="B66" s="268">
        <f>50000000-1019050-13790000</f>
        <v>35190950</v>
      </c>
      <c r="C66" s="268">
        <v>0</v>
      </c>
      <c r="D66" s="268">
        <f>D67-D64</f>
        <v>0</v>
      </c>
      <c r="E66" s="267"/>
    </row>
    <row r="67" spans="1:5" ht="12.75">
      <c r="A67" s="269" t="s">
        <v>189</v>
      </c>
      <c r="B67" s="270">
        <f>B66+B64</f>
        <v>146480000</v>
      </c>
      <c r="C67" s="270">
        <f>C66+C64</f>
        <v>88869050</v>
      </c>
      <c r="D67" s="270">
        <f>D64</f>
        <v>35753100.59</v>
      </c>
      <c r="E67" s="267"/>
    </row>
    <row r="68" spans="1:5" ht="12.75">
      <c r="A68" s="269"/>
      <c r="B68" s="270"/>
      <c r="C68" s="270"/>
      <c r="D68" s="270"/>
      <c r="E68" s="267"/>
    </row>
    <row r="69" spans="1:5" ht="12.75">
      <c r="A69" s="266">
        <v>2013</v>
      </c>
      <c r="B69" s="268">
        <v>13790000</v>
      </c>
      <c r="C69" s="268">
        <v>0</v>
      </c>
      <c r="D69" s="268">
        <f>D70-D67</f>
        <v>0</v>
      </c>
      <c r="E69" s="267"/>
    </row>
    <row r="70" spans="1:5" ht="12.75">
      <c r="A70" s="269" t="s">
        <v>189</v>
      </c>
      <c r="B70" s="270">
        <f>B69+B67</f>
        <v>160270000</v>
      </c>
      <c r="C70" s="270">
        <f>C69+C67</f>
        <v>88869050</v>
      </c>
      <c r="D70" s="270">
        <f>D67</f>
        <v>35753100.59</v>
      </c>
      <c r="E70" s="267"/>
    </row>
    <row r="71" spans="1:5" ht="12.75">
      <c r="A71" s="269"/>
      <c r="B71" s="270"/>
      <c r="C71" s="270"/>
      <c r="D71" s="270"/>
      <c r="E71" s="267"/>
    </row>
    <row r="72" spans="1:5" ht="12.75">
      <c r="A72" s="266">
        <v>2014</v>
      </c>
      <c r="B72" s="268">
        <v>0</v>
      </c>
      <c r="C72" s="268">
        <v>0</v>
      </c>
      <c r="D72" s="268">
        <f>D73-D70</f>
        <v>0</v>
      </c>
      <c r="E72" s="267"/>
    </row>
    <row r="73" spans="1:5" ht="12.75">
      <c r="A73" s="269" t="s">
        <v>189</v>
      </c>
      <c r="B73" s="270">
        <f>B72+B70</f>
        <v>160270000</v>
      </c>
      <c r="C73" s="270">
        <f>C72+C70</f>
        <v>88869050</v>
      </c>
      <c r="D73" s="270">
        <f>D70</f>
        <v>35753100.59</v>
      </c>
      <c r="E73" s="267"/>
    </row>
    <row r="74" spans="1:5" ht="12.75">
      <c r="A74" s="262"/>
      <c r="B74" s="273"/>
      <c r="C74" s="273"/>
      <c r="D74" s="273"/>
      <c r="E74" s="273"/>
    </row>
    <row r="75" spans="1:5" ht="12.75">
      <c r="A75" s="263"/>
      <c r="B75" s="256"/>
      <c r="C75" s="256"/>
      <c r="D75" s="256"/>
      <c r="E75" s="256"/>
    </row>
    <row r="76" spans="1:5" ht="12.75">
      <c r="A76" s="276" t="s">
        <v>195</v>
      </c>
      <c r="B76" s="276"/>
      <c r="C76" s="277"/>
      <c r="D76" s="278"/>
      <c r="E76" s="256"/>
    </row>
    <row r="91" spans="1:5" ht="12.75">
      <c r="A91" s="239"/>
      <c r="B91" s="240"/>
      <c r="C91" s="240"/>
      <c r="D91" s="240"/>
      <c r="E91" s="240"/>
    </row>
    <row r="92" spans="1:5" ht="12.75">
      <c r="A92" s="239"/>
      <c r="B92" s="240"/>
      <c r="C92" s="240"/>
      <c r="D92" s="240"/>
      <c r="E92" s="240"/>
    </row>
    <row r="93" spans="1:5" ht="12.75">
      <c r="A93" s="279" t="s">
        <v>171</v>
      </c>
      <c r="B93" s="242"/>
      <c r="C93" s="242"/>
      <c r="D93" s="242"/>
      <c r="E93" s="243"/>
    </row>
    <row r="94" spans="1:5" ht="12.75">
      <c r="A94" s="244"/>
      <c r="B94" s="240"/>
      <c r="C94" s="240"/>
      <c r="D94" s="240"/>
      <c r="E94" s="245"/>
    </row>
    <row r="95" spans="1:5" ht="12.75">
      <c r="A95" s="244" t="s">
        <v>172</v>
      </c>
      <c r="B95" s="240"/>
      <c r="C95" s="240"/>
      <c r="D95" s="240"/>
      <c r="E95" s="246" t="s">
        <v>173</v>
      </c>
    </row>
    <row r="96" spans="1:5" ht="12.75">
      <c r="A96" s="244"/>
      <c r="B96" s="240"/>
      <c r="C96" s="240"/>
      <c r="D96" s="240"/>
      <c r="E96" s="245"/>
    </row>
    <row r="97" spans="1:5" ht="12.75">
      <c r="A97" s="244" t="s">
        <v>174</v>
      </c>
      <c r="B97" s="240"/>
      <c r="C97" s="240"/>
      <c r="D97" s="240"/>
      <c r="E97" s="245"/>
    </row>
    <row r="98" spans="1:5" ht="12.75">
      <c r="A98" s="244"/>
      <c r="B98" s="240" t="s">
        <v>175</v>
      </c>
      <c r="C98" s="240"/>
      <c r="D98" s="240"/>
      <c r="E98" s="245"/>
    </row>
    <row r="99" spans="1:5" ht="12.75">
      <c r="A99" s="244" t="s">
        <v>176</v>
      </c>
      <c r="B99" s="240"/>
      <c r="C99" s="240"/>
      <c r="D99" s="240"/>
      <c r="E99" s="245"/>
    </row>
    <row r="100" spans="1:5" ht="12.75">
      <c r="A100" s="244"/>
      <c r="B100" s="240"/>
      <c r="C100" s="240"/>
      <c r="D100" s="240"/>
      <c r="E100" s="245"/>
    </row>
    <row r="101" spans="1:5" ht="12.75">
      <c r="A101" s="280" t="s">
        <v>196</v>
      </c>
      <c r="B101" s="240"/>
      <c r="C101" s="247">
        <v>19009295</v>
      </c>
      <c r="D101" s="248" t="s">
        <v>178</v>
      </c>
      <c r="E101" s="249">
        <f>C101</f>
        <v>19009295</v>
      </c>
    </row>
    <row r="102" spans="1:5" ht="12.75">
      <c r="A102" s="954"/>
      <c r="B102" s="956"/>
      <c r="C102" s="247"/>
      <c r="D102" s="247"/>
      <c r="E102" s="249"/>
    </row>
    <row r="103" spans="1:5" ht="12.75">
      <c r="A103" s="954"/>
      <c r="B103" s="956"/>
      <c r="C103" s="247"/>
      <c r="D103" s="247"/>
      <c r="E103" s="249"/>
    </row>
    <row r="104" spans="1:5" ht="12.75">
      <c r="A104" s="250"/>
      <c r="B104" s="251"/>
      <c r="C104" s="252"/>
      <c r="D104" s="253"/>
      <c r="E104" s="254"/>
    </row>
    <row r="105" spans="1:5" ht="12.75">
      <c r="A105" s="255"/>
      <c r="B105" s="256"/>
      <c r="C105" s="256"/>
      <c r="D105" s="256"/>
      <c r="E105" s="256"/>
    </row>
    <row r="106" spans="1:5" ht="13.5" thickBot="1">
      <c r="A106" s="255"/>
      <c r="B106" s="256"/>
      <c r="C106" s="256"/>
      <c r="D106" s="256"/>
      <c r="E106" s="256"/>
    </row>
    <row r="107" spans="1:5" ht="13.5" thickTop="1">
      <c r="A107" s="257"/>
      <c r="B107" s="258" t="s">
        <v>182</v>
      </c>
      <c r="C107" s="259" t="s">
        <v>182</v>
      </c>
      <c r="D107" s="259" t="s">
        <v>183</v>
      </c>
      <c r="E107" s="259" t="s">
        <v>184</v>
      </c>
    </row>
    <row r="108" spans="1:5" ht="12.75">
      <c r="A108" s="260"/>
      <c r="B108" s="261" t="s">
        <v>185</v>
      </c>
      <c r="C108" s="262" t="s">
        <v>186</v>
      </c>
      <c r="D108" s="262" t="s">
        <v>187</v>
      </c>
      <c r="E108" s="262" t="s">
        <v>188</v>
      </c>
    </row>
    <row r="109" spans="1:5" ht="12.75">
      <c r="A109" s="263"/>
      <c r="B109" s="256"/>
      <c r="C109" s="256"/>
      <c r="D109" s="256"/>
      <c r="E109" s="256"/>
    </row>
    <row r="110" spans="1:5" ht="12.75">
      <c r="A110" s="264"/>
      <c r="B110" s="265"/>
      <c r="C110" s="265"/>
      <c r="D110" s="265"/>
      <c r="E110" s="265"/>
    </row>
    <row r="111" spans="1:5" ht="12.75">
      <c r="A111" s="266">
        <v>2008</v>
      </c>
      <c r="B111" s="267">
        <v>0</v>
      </c>
      <c r="C111" s="268">
        <v>0</v>
      </c>
      <c r="D111" s="268">
        <v>0</v>
      </c>
      <c r="E111" s="267"/>
    </row>
    <row r="112" spans="1:5" ht="12.75">
      <c r="A112" s="269" t="s">
        <v>189</v>
      </c>
      <c r="B112" s="270">
        <f>B111</f>
        <v>0</v>
      </c>
      <c r="C112" s="270">
        <f>C111</f>
        <v>0</v>
      </c>
      <c r="D112" s="270">
        <f>D111</f>
        <v>0</v>
      </c>
      <c r="E112" s="271"/>
    </row>
    <row r="113" spans="1:5" ht="12.75">
      <c r="A113" s="269"/>
      <c r="B113" s="270"/>
      <c r="C113" s="270"/>
      <c r="D113" s="270"/>
      <c r="E113" s="271"/>
    </row>
    <row r="114" spans="1:5" ht="12.75">
      <c r="A114" s="266">
        <v>2009</v>
      </c>
      <c r="B114" s="267">
        <v>6640500</v>
      </c>
      <c r="C114" s="268">
        <v>6640500</v>
      </c>
      <c r="D114" s="268">
        <v>2069693.7</v>
      </c>
      <c r="E114" s="267"/>
    </row>
    <row r="115" spans="1:5" ht="12.75">
      <c r="A115" s="269" t="s">
        <v>189</v>
      </c>
      <c r="B115" s="270">
        <f>B114+B112</f>
        <v>6640500</v>
      </c>
      <c r="C115" s="270">
        <f>C114+C112</f>
        <v>6640500</v>
      </c>
      <c r="D115" s="270">
        <f>D114+D112</f>
        <v>2069693.7</v>
      </c>
      <c r="E115" s="267"/>
    </row>
    <row r="116" spans="1:5" ht="12.75">
      <c r="A116" s="269"/>
      <c r="B116" s="270"/>
      <c r="C116" s="270"/>
      <c r="D116" s="270"/>
      <c r="E116" s="267"/>
    </row>
    <row r="117" spans="1:5" ht="12.75">
      <c r="A117" s="266">
        <v>2010</v>
      </c>
      <c r="B117" s="267">
        <v>6408795</v>
      </c>
      <c r="C117" s="267">
        <v>6408795</v>
      </c>
      <c r="D117" s="267">
        <f>D118-D115</f>
        <v>4919390.84</v>
      </c>
      <c r="E117" s="267"/>
    </row>
    <row r="118" spans="1:5" ht="12.75">
      <c r="A118" s="269" t="s">
        <v>189</v>
      </c>
      <c r="B118" s="270">
        <f>B117+B115</f>
        <v>13049295</v>
      </c>
      <c r="C118" s="270">
        <f>C117+C115</f>
        <v>13049295</v>
      </c>
      <c r="D118" s="270">
        <v>6989084.54</v>
      </c>
      <c r="E118" s="267"/>
    </row>
    <row r="119" spans="1:5" ht="12.75">
      <c r="A119" s="269"/>
      <c r="B119" s="270"/>
      <c r="C119" s="270"/>
      <c r="D119" s="270"/>
      <c r="E119" s="267"/>
    </row>
    <row r="120" spans="1:5" ht="12.75">
      <c r="A120" s="266">
        <v>2011</v>
      </c>
      <c r="B120" s="267">
        <v>5310500</v>
      </c>
      <c r="C120" s="268">
        <v>5310500</v>
      </c>
      <c r="D120" s="268">
        <f>D121-D118</f>
        <v>3489010.6100000003</v>
      </c>
      <c r="E120" s="267"/>
    </row>
    <row r="121" spans="1:5" ht="12.75">
      <c r="A121" s="269" t="s">
        <v>189</v>
      </c>
      <c r="B121" s="270">
        <f>B120+B118</f>
        <v>18359795</v>
      </c>
      <c r="C121" s="270">
        <f>C120+C118</f>
        <v>18359795</v>
      </c>
      <c r="D121" s="270">
        <v>10478095.15</v>
      </c>
      <c r="E121" s="271"/>
    </row>
    <row r="122" spans="1:5" ht="12.75">
      <c r="A122" s="269"/>
      <c r="B122" s="270"/>
      <c r="C122" s="270"/>
      <c r="D122" s="270"/>
      <c r="E122" s="267"/>
    </row>
    <row r="123" spans="1:5" ht="12.75">
      <c r="A123" s="266">
        <v>2012</v>
      </c>
      <c r="B123" s="267">
        <f>19009295-B121</f>
        <v>649500</v>
      </c>
      <c r="C123" s="268">
        <v>0</v>
      </c>
      <c r="D123" s="268">
        <f>D124-D121</f>
        <v>0</v>
      </c>
      <c r="E123" s="267"/>
    </row>
    <row r="124" spans="1:5" ht="12.75">
      <c r="A124" s="269" t="s">
        <v>189</v>
      </c>
      <c r="B124" s="270">
        <f>B123+B121</f>
        <v>19009295</v>
      </c>
      <c r="C124" s="270">
        <f>C123+C121</f>
        <v>18359795</v>
      </c>
      <c r="D124" s="270">
        <f>D121</f>
        <v>10478095.15</v>
      </c>
      <c r="E124" s="267"/>
    </row>
    <row r="125" spans="1:5" ht="12.75">
      <c r="A125" s="269"/>
      <c r="B125" s="270"/>
      <c r="C125" s="270"/>
      <c r="D125" s="270"/>
      <c r="E125" s="267"/>
    </row>
    <row r="126" spans="1:5" ht="12.75">
      <c r="A126" s="266">
        <v>2013</v>
      </c>
      <c r="B126" s="267">
        <v>0</v>
      </c>
      <c r="C126" s="268">
        <v>0</v>
      </c>
      <c r="D126" s="268">
        <f>D127-D124</f>
        <v>0</v>
      </c>
      <c r="E126" s="267"/>
    </row>
    <row r="127" spans="1:7" ht="12.75">
      <c r="A127" s="269" t="s">
        <v>189</v>
      </c>
      <c r="B127" s="270">
        <f>B126+B124</f>
        <v>19009295</v>
      </c>
      <c r="C127" s="270">
        <f>C126+C124</f>
        <v>18359795</v>
      </c>
      <c r="D127" s="270">
        <f>D124</f>
        <v>10478095.15</v>
      </c>
      <c r="E127" s="267"/>
      <c r="G127" s="272"/>
    </row>
    <row r="128" spans="1:5" ht="12.75">
      <c r="A128" s="269"/>
      <c r="B128" s="270"/>
      <c r="C128" s="270"/>
      <c r="D128" s="270"/>
      <c r="E128" s="267"/>
    </row>
    <row r="129" spans="1:5" ht="12.75">
      <c r="A129" s="266">
        <v>2014</v>
      </c>
      <c r="B129" s="268">
        <v>0</v>
      </c>
      <c r="C129" s="268">
        <v>0</v>
      </c>
      <c r="D129" s="268">
        <f>D130-D127</f>
        <v>0</v>
      </c>
      <c r="E129" s="267"/>
    </row>
    <row r="130" spans="1:5" ht="12.75">
      <c r="A130" s="269" t="s">
        <v>189</v>
      </c>
      <c r="B130" s="270">
        <f>B129+B127</f>
        <v>19009295</v>
      </c>
      <c r="C130" s="270">
        <f>C129+C127</f>
        <v>18359795</v>
      </c>
      <c r="D130" s="270">
        <f>D127</f>
        <v>10478095.15</v>
      </c>
      <c r="E130" s="267"/>
    </row>
    <row r="131" spans="1:5" ht="12.75">
      <c r="A131" s="262"/>
      <c r="B131" s="273"/>
      <c r="C131" s="273"/>
      <c r="D131" s="273"/>
      <c r="E131" s="273"/>
    </row>
    <row r="132" spans="1:5" ht="12.75">
      <c r="A132" s="263"/>
      <c r="B132" s="256"/>
      <c r="C132" s="256"/>
      <c r="D132" s="256"/>
      <c r="E132" s="256"/>
    </row>
    <row r="133" spans="1:5" ht="13.5" thickBot="1">
      <c r="A133" s="263"/>
      <c r="B133" s="256"/>
      <c r="C133" s="256"/>
      <c r="D133" s="256"/>
      <c r="E133" s="256"/>
    </row>
    <row r="134" spans="1:5" ht="13.5" thickTop="1">
      <c r="A134" s="257"/>
      <c r="B134" s="258" t="s">
        <v>190</v>
      </c>
      <c r="C134" s="259" t="s">
        <v>190</v>
      </c>
      <c r="D134" s="259" t="s">
        <v>191</v>
      </c>
      <c r="E134" s="259" t="s">
        <v>190</v>
      </c>
    </row>
    <row r="135" spans="1:5" ht="12.75">
      <c r="A135" s="260"/>
      <c r="B135" s="261" t="s">
        <v>192</v>
      </c>
      <c r="C135" s="262" t="s">
        <v>193</v>
      </c>
      <c r="D135" s="262" t="s">
        <v>187</v>
      </c>
      <c r="E135" s="262" t="s">
        <v>194</v>
      </c>
    </row>
    <row r="136" spans="1:5" ht="12.75">
      <c r="A136" s="263"/>
      <c r="B136" s="256"/>
      <c r="C136" s="256"/>
      <c r="D136" s="256"/>
      <c r="E136" s="256"/>
    </row>
    <row r="137" spans="1:5" ht="12.75">
      <c r="A137" s="274"/>
      <c r="B137" s="275"/>
      <c r="C137" s="275"/>
      <c r="D137" s="275"/>
      <c r="E137" s="275"/>
    </row>
    <row r="138" spans="1:7" ht="12.75">
      <c r="A138" s="266">
        <v>2008</v>
      </c>
      <c r="B138" s="267">
        <v>0</v>
      </c>
      <c r="C138" s="268">
        <v>0</v>
      </c>
      <c r="D138" s="268">
        <v>0</v>
      </c>
      <c r="E138" s="267"/>
      <c r="G138" s="272"/>
    </row>
    <row r="139" spans="1:7" ht="12.75">
      <c r="A139" s="269" t="s">
        <v>189</v>
      </c>
      <c r="B139" s="270">
        <f>B138</f>
        <v>0</v>
      </c>
      <c r="C139" s="270">
        <f>C138</f>
        <v>0</v>
      </c>
      <c r="D139" s="270">
        <f>D138</f>
        <v>0</v>
      </c>
      <c r="E139" s="267"/>
      <c r="G139" s="272"/>
    </row>
    <row r="140" spans="1:5" ht="12.75">
      <c r="A140" s="269"/>
      <c r="B140" s="270"/>
      <c r="C140" s="270"/>
      <c r="D140" s="270"/>
      <c r="E140" s="267"/>
    </row>
    <row r="141" spans="1:5" ht="12.75">
      <c r="A141" s="266">
        <v>2009</v>
      </c>
      <c r="B141" s="267">
        <v>4970500</v>
      </c>
      <c r="C141" s="268">
        <v>4970500</v>
      </c>
      <c r="D141" s="268">
        <v>1309302.13</v>
      </c>
      <c r="E141" s="267"/>
    </row>
    <row r="142" spans="1:5" ht="12.75">
      <c r="A142" s="269" t="s">
        <v>189</v>
      </c>
      <c r="B142" s="270">
        <f>B141+B139</f>
        <v>4970500</v>
      </c>
      <c r="C142" s="270">
        <f>C141+C139</f>
        <v>4970500</v>
      </c>
      <c r="D142" s="270">
        <f>D141+D139</f>
        <v>1309302.13</v>
      </c>
      <c r="E142" s="267"/>
    </row>
    <row r="143" spans="1:5" ht="12.75">
      <c r="A143" s="269"/>
      <c r="B143" s="270"/>
      <c r="C143" s="270"/>
      <c r="D143" s="270"/>
      <c r="E143" s="267"/>
    </row>
    <row r="144" spans="1:5" ht="12.75">
      <c r="A144" s="266">
        <v>2010</v>
      </c>
      <c r="B144" s="267">
        <v>4644173</v>
      </c>
      <c r="C144" s="268">
        <v>4644173</v>
      </c>
      <c r="D144" s="268">
        <f>D145-D142</f>
        <v>2028134.19</v>
      </c>
      <c r="E144" s="267"/>
    </row>
    <row r="145" spans="1:5" ht="12.75">
      <c r="A145" s="269" t="s">
        <v>189</v>
      </c>
      <c r="B145" s="270">
        <f>B144+B142</f>
        <v>9614673</v>
      </c>
      <c r="C145" s="270">
        <f>C144+C142</f>
        <v>9614673</v>
      </c>
      <c r="D145" s="270">
        <v>3337436.32</v>
      </c>
      <c r="E145" s="267"/>
    </row>
    <row r="146" spans="1:5" ht="12.75">
      <c r="A146" s="269"/>
      <c r="B146" s="270"/>
      <c r="C146" s="270"/>
      <c r="D146" s="270"/>
      <c r="E146" s="267"/>
    </row>
    <row r="147" spans="1:5" ht="12.75">
      <c r="A147" s="266">
        <v>2011</v>
      </c>
      <c r="B147" s="268">
        <v>4503000</v>
      </c>
      <c r="C147" s="268">
        <v>4503000</v>
      </c>
      <c r="D147" s="268">
        <f>D148-D145</f>
        <v>2506793.15</v>
      </c>
      <c r="E147" s="267"/>
    </row>
    <row r="148" spans="1:5" ht="12.75">
      <c r="A148" s="269" t="s">
        <v>189</v>
      </c>
      <c r="B148" s="270">
        <f>B147+B145</f>
        <v>14117673</v>
      </c>
      <c r="C148" s="270">
        <f>C147+C145</f>
        <v>14117673</v>
      </c>
      <c r="D148" s="270">
        <v>5844229.47</v>
      </c>
      <c r="E148" s="271"/>
    </row>
    <row r="149" spans="1:5" ht="12.75">
      <c r="A149" s="269"/>
      <c r="B149" s="270"/>
      <c r="C149" s="270"/>
      <c r="D149" s="270"/>
      <c r="E149" s="267"/>
    </row>
    <row r="150" spans="1:5" ht="12.75">
      <c r="A150" s="266">
        <v>2012</v>
      </c>
      <c r="B150" s="268">
        <f>19009295-B148</f>
        <v>4891622</v>
      </c>
      <c r="C150" s="268">
        <v>0</v>
      </c>
      <c r="D150" s="268">
        <f>D151-D148</f>
        <v>0</v>
      </c>
      <c r="E150" s="267"/>
    </row>
    <row r="151" spans="1:5" ht="12.75">
      <c r="A151" s="269" t="s">
        <v>189</v>
      </c>
      <c r="B151" s="270">
        <f>B150+B148</f>
        <v>19009295</v>
      </c>
      <c r="C151" s="270">
        <f>C150+C148</f>
        <v>14117673</v>
      </c>
      <c r="D151" s="270">
        <f>D148</f>
        <v>5844229.47</v>
      </c>
      <c r="E151" s="267"/>
    </row>
    <row r="152" spans="1:5" ht="12.75">
      <c r="A152" s="269"/>
      <c r="B152" s="270"/>
      <c r="C152" s="270"/>
      <c r="D152" s="270"/>
      <c r="E152" s="267"/>
    </row>
    <row r="153" spans="1:5" ht="12.75">
      <c r="A153" s="266">
        <v>2013</v>
      </c>
      <c r="B153" s="268">
        <v>0</v>
      </c>
      <c r="C153" s="268">
        <v>0</v>
      </c>
      <c r="D153" s="268">
        <f>D154-D151</f>
        <v>0</v>
      </c>
      <c r="E153" s="267"/>
    </row>
    <row r="154" spans="1:5" ht="12.75">
      <c r="A154" s="269" t="s">
        <v>189</v>
      </c>
      <c r="B154" s="270">
        <f>B153+B151</f>
        <v>19009295</v>
      </c>
      <c r="C154" s="270">
        <f>C153+C151</f>
        <v>14117673</v>
      </c>
      <c r="D154" s="270">
        <f>D151</f>
        <v>5844229.47</v>
      </c>
      <c r="E154" s="267"/>
    </row>
    <row r="155" spans="1:5" ht="12.75">
      <c r="A155" s="269"/>
      <c r="B155" s="270"/>
      <c r="C155" s="270"/>
      <c r="D155" s="270"/>
      <c r="E155" s="267"/>
    </row>
    <row r="156" spans="1:5" ht="12.75">
      <c r="A156" s="266">
        <v>2014</v>
      </c>
      <c r="B156" s="268">
        <v>0</v>
      </c>
      <c r="C156" s="268">
        <v>0</v>
      </c>
      <c r="D156" s="268">
        <f>D157-D154</f>
        <v>0</v>
      </c>
      <c r="E156" s="267"/>
    </row>
    <row r="157" spans="1:5" ht="12.75">
      <c r="A157" s="269" t="s">
        <v>189</v>
      </c>
      <c r="B157" s="270">
        <f>B156+B154</f>
        <v>19009295</v>
      </c>
      <c r="C157" s="270">
        <f>C156+C154</f>
        <v>14117673</v>
      </c>
      <c r="D157" s="270">
        <f>D154</f>
        <v>5844229.47</v>
      </c>
      <c r="E157" s="267"/>
    </row>
    <row r="158" spans="1:5" ht="12.75">
      <c r="A158" s="262"/>
      <c r="B158" s="273"/>
      <c r="C158" s="273"/>
      <c r="D158" s="273"/>
      <c r="E158" s="273"/>
    </row>
    <row r="159" spans="1:5" ht="12.75">
      <c r="A159" s="263"/>
      <c r="B159" s="256"/>
      <c r="C159" s="256"/>
      <c r="D159" s="256"/>
      <c r="E159" s="256"/>
    </row>
    <row r="160" spans="1:5" ht="12.75">
      <c r="A160" s="276" t="s">
        <v>195</v>
      </c>
      <c r="B160" s="276"/>
      <c r="C160" s="277"/>
      <c r="D160" s="278"/>
      <c r="E160" s="256"/>
    </row>
    <row r="175" spans="1:5" ht="12.75">
      <c r="A175" s="239"/>
      <c r="B175" s="240"/>
      <c r="C175" s="240"/>
      <c r="D175" s="240"/>
      <c r="E175" s="240"/>
    </row>
    <row r="176" spans="1:5" ht="12.75">
      <c r="A176" s="239"/>
      <c r="B176" s="240"/>
      <c r="C176" s="240"/>
      <c r="D176" s="240"/>
      <c r="E176" s="240"/>
    </row>
    <row r="177" spans="1:5" ht="12.75">
      <c r="A177" s="279" t="s">
        <v>171</v>
      </c>
      <c r="B177" s="242"/>
      <c r="C177" s="242"/>
      <c r="D177" s="242"/>
      <c r="E177" s="243"/>
    </row>
    <row r="178" spans="1:5" ht="12.75">
      <c r="A178" s="244"/>
      <c r="B178" s="240"/>
      <c r="C178" s="240"/>
      <c r="D178" s="240"/>
      <c r="E178" s="245"/>
    </row>
    <row r="179" spans="1:5" ht="12.75">
      <c r="A179" s="244" t="s">
        <v>172</v>
      </c>
      <c r="B179" s="240"/>
      <c r="C179" s="240"/>
      <c r="D179" s="240"/>
      <c r="E179" s="246" t="s">
        <v>173</v>
      </c>
    </row>
    <row r="180" spans="1:5" ht="12.75">
      <c r="A180" s="244"/>
      <c r="B180" s="240"/>
      <c r="C180" s="240"/>
      <c r="D180" s="240"/>
      <c r="E180" s="245"/>
    </row>
    <row r="181" spans="1:5" ht="12.75">
      <c r="A181" s="244" t="s">
        <v>174</v>
      </c>
      <c r="B181" s="240"/>
      <c r="C181" s="240"/>
      <c r="D181" s="240"/>
      <c r="E181" s="245"/>
    </row>
    <row r="182" spans="1:5" ht="12.75">
      <c r="A182" s="244"/>
      <c r="B182" s="240" t="s">
        <v>175</v>
      </c>
      <c r="C182" s="240"/>
      <c r="D182" s="240"/>
      <c r="E182" s="245"/>
    </row>
    <row r="183" spans="1:5" ht="12.75">
      <c r="A183" s="244" t="s">
        <v>176</v>
      </c>
      <c r="B183" s="240"/>
      <c r="C183" s="240"/>
      <c r="D183" s="240"/>
      <c r="E183" s="245"/>
    </row>
    <row r="184" spans="1:5" ht="12.75">
      <c r="A184" s="244"/>
      <c r="B184" s="240"/>
      <c r="C184" s="240"/>
      <c r="D184" s="240"/>
      <c r="E184" s="245"/>
    </row>
    <row r="185" spans="1:5" ht="12.75">
      <c r="A185" s="280" t="s">
        <v>197</v>
      </c>
      <c r="B185" s="240"/>
      <c r="C185" s="247">
        <f>C17-C101</f>
        <v>141260705</v>
      </c>
      <c r="D185" s="248" t="s">
        <v>178</v>
      </c>
      <c r="E185" s="249">
        <f>C185</f>
        <v>141260705</v>
      </c>
    </row>
    <row r="186" spans="1:5" ht="12.75">
      <c r="A186" s="954"/>
      <c r="B186" s="955"/>
      <c r="C186" s="247"/>
      <c r="D186" s="247"/>
      <c r="E186" s="249"/>
    </row>
    <row r="187" spans="1:5" ht="12.75">
      <c r="A187" s="954"/>
      <c r="B187" s="955"/>
      <c r="C187" s="247"/>
      <c r="D187" s="247"/>
      <c r="E187" s="249"/>
    </row>
    <row r="188" spans="1:5" ht="12.75">
      <c r="A188" s="250"/>
      <c r="B188" s="251"/>
      <c r="C188" s="252"/>
      <c r="D188" s="253"/>
      <c r="E188" s="254"/>
    </row>
    <row r="189" spans="1:11" ht="12.75">
      <c r="A189" s="255"/>
      <c r="B189" s="256"/>
      <c r="C189" s="256"/>
      <c r="D189" s="256"/>
      <c r="E189" s="256"/>
      <c r="I189" s="951" t="s">
        <v>209</v>
      </c>
      <c r="J189" s="952"/>
      <c r="K189" s="953"/>
    </row>
    <row r="190" spans="1:11" ht="13.5" thickBot="1">
      <c r="A190" s="255"/>
      <c r="B190" s="256"/>
      <c r="C190" s="256"/>
      <c r="D190" s="256"/>
      <c r="E190" s="256"/>
      <c r="H190" s="272"/>
      <c r="I190" s="283">
        <v>102423</v>
      </c>
      <c r="J190" s="283">
        <f>I190/I195</f>
        <v>0.725063658894512</v>
      </c>
      <c r="K190" s="9" t="s">
        <v>198</v>
      </c>
    </row>
    <row r="191" spans="1:11" ht="13.5" thickTop="1">
      <c r="A191" s="257"/>
      <c r="B191" s="258" t="s">
        <v>182</v>
      </c>
      <c r="C191" s="259" t="s">
        <v>182</v>
      </c>
      <c r="D191" s="259" t="s">
        <v>183</v>
      </c>
      <c r="E191" s="259" t="s">
        <v>184</v>
      </c>
      <c r="H191" s="272"/>
      <c r="I191" s="283">
        <v>17737.7</v>
      </c>
      <c r="J191" s="283">
        <f>I191/I195</f>
        <v>0.12556712518060578</v>
      </c>
      <c r="K191" s="9" t="s">
        <v>199</v>
      </c>
    </row>
    <row r="192" spans="1:11" ht="12.75">
      <c r="A192" s="260"/>
      <c r="B192" s="261" t="s">
        <v>185</v>
      </c>
      <c r="C192" s="262" t="s">
        <v>186</v>
      </c>
      <c r="D192" s="262" t="s">
        <v>187</v>
      </c>
      <c r="E192" s="262" t="s">
        <v>188</v>
      </c>
      <c r="H192" s="272"/>
      <c r="I192" s="283">
        <v>5000</v>
      </c>
      <c r="J192" s="283">
        <f>I192/I195</f>
        <v>0.035395548797365436</v>
      </c>
      <c r="K192" s="9" t="s">
        <v>200</v>
      </c>
    </row>
    <row r="193" spans="1:11" ht="12.75">
      <c r="A193" s="263"/>
      <c r="B193" s="256"/>
      <c r="C193" s="256"/>
      <c r="D193" s="256"/>
      <c r="E193" s="256"/>
      <c r="H193" s="272"/>
      <c r="I193" s="283">
        <v>7600</v>
      </c>
      <c r="J193" s="283">
        <f>I193/I195</f>
        <v>0.05380123417199546</v>
      </c>
      <c r="K193" s="9" t="s">
        <v>201</v>
      </c>
    </row>
    <row r="194" spans="1:11" ht="12.75">
      <c r="A194" s="264"/>
      <c r="B194" s="265"/>
      <c r="C194" s="265"/>
      <c r="D194" s="265"/>
      <c r="E194" s="265"/>
      <c r="H194" s="272"/>
      <c r="I194" s="283">
        <v>8500</v>
      </c>
      <c r="J194" s="283">
        <f>I194/I195</f>
        <v>0.06017243295552124</v>
      </c>
      <c r="K194" s="9" t="s">
        <v>202</v>
      </c>
    </row>
    <row r="195" spans="1:11" ht="12.75">
      <c r="A195" s="266">
        <v>2008</v>
      </c>
      <c r="B195" s="267">
        <f>B27-B111</f>
        <v>9000000</v>
      </c>
      <c r="C195" s="267">
        <f>C27-C111</f>
        <v>9000000</v>
      </c>
      <c r="D195" s="268">
        <v>0</v>
      </c>
      <c r="E195" s="267"/>
      <c r="H195" s="272"/>
      <c r="I195" s="290">
        <f>SUM(I190:I194)</f>
        <v>141260.7</v>
      </c>
      <c r="J195" s="283">
        <f>SUM(J190:J194)</f>
        <v>0.9999999999999998</v>
      </c>
      <c r="K195" s="9"/>
    </row>
    <row r="196" spans="1:10" ht="12.75">
      <c r="A196" s="269" t="s">
        <v>189</v>
      </c>
      <c r="B196" s="270">
        <f>B195</f>
        <v>9000000</v>
      </c>
      <c r="C196" s="270">
        <f>C195</f>
        <v>9000000</v>
      </c>
      <c r="D196" s="270">
        <f>D195</f>
        <v>0</v>
      </c>
      <c r="E196" s="271"/>
      <c r="H196" s="272"/>
      <c r="I196" s="272"/>
      <c r="J196" s="272"/>
    </row>
    <row r="197" spans="1:10" ht="13.5" thickBot="1">
      <c r="A197" s="269"/>
      <c r="B197" s="270"/>
      <c r="C197" s="270"/>
      <c r="D197" s="270"/>
      <c r="E197" s="271"/>
      <c r="I197" s="272"/>
      <c r="J197" s="272"/>
    </row>
    <row r="198" spans="1:14" ht="12.75">
      <c r="A198" s="266">
        <v>2009</v>
      </c>
      <c r="B198" s="267">
        <f>B30-B114</f>
        <v>71190000</v>
      </c>
      <c r="C198" s="267">
        <f>C30-C114</f>
        <v>71190000</v>
      </c>
      <c r="D198" s="267">
        <f>D30-D114</f>
        <v>13311625.74</v>
      </c>
      <c r="E198" s="267"/>
      <c r="G198" s="281" t="s">
        <v>203</v>
      </c>
      <c r="H198" s="282">
        <v>129580705</v>
      </c>
      <c r="I198" s="282">
        <f>H198*J190</f>
        <v>93954260.08943038</v>
      </c>
      <c r="J198" s="282"/>
      <c r="K198" s="57" t="s">
        <v>198</v>
      </c>
      <c r="N198" s="272"/>
    </row>
    <row r="199" spans="1:11" ht="12.75">
      <c r="A199" s="269" t="s">
        <v>189</v>
      </c>
      <c r="B199" s="270">
        <f>B198+B196</f>
        <v>80190000</v>
      </c>
      <c r="C199" s="270">
        <f>C198+C196</f>
        <v>80190000</v>
      </c>
      <c r="D199" s="270">
        <f>D198+D196</f>
        <v>13311625.74</v>
      </c>
      <c r="E199" s="267"/>
      <c r="G199" s="16"/>
      <c r="H199" s="283"/>
      <c r="I199" s="283">
        <f>H198*J191</f>
        <v>16271076.605726149</v>
      </c>
      <c r="J199" s="283"/>
      <c r="K199" s="284" t="s">
        <v>199</v>
      </c>
    </row>
    <row r="200" spans="1:11" ht="12.75">
      <c r="A200" s="269"/>
      <c r="B200" s="270"/>
      <c r="C200" s="270"/>
      <c r="D200" s="270"/>
      <c r="E200" s="267"/>
      <c r="G200" s="16"/>
      <c r="H200" s="283"/>
      <c r="I200" s="283">
        <f>H198*J192</f>
        <v>4586580.167024516</v>
      </c>
      <c r="J200" s="283"/>
      <c r="K200" s="284" t="s">
        <v>200</v>
      </c>
    </row>
    <row r="201" spans="1:11" ht="12.75">
      <c r="A201" s="266">
        <v>2010</v>
      </c>
      <c r="B201" s="267">
        <f>B33-B117</f>
        <v>16955947</v>
      </c>
      <c r="C201" s="267">
        <f>C33-C117</f>
        <v>16955947</v>
      </c>
      <c r="D201" s="267">
        <f>D33-D117</f>
        <v>61673886.370000005</v>
      </c>
      <c r="E201" s="267"/>
      <c r="G201" s="16"/>
      <c r="H201" s="283"/>
      <c r="I201" s="283">
        <f>H198*J193</f>
        <v>6971601.853877263</v>
      </c>
      <c r="J201" s="283"/>
      <c r="K201" s="284" t="s">
        <v>201</v>
      </c>
    </row>
    <row r="202" spans="1:11" ht="12.75">
      <c r="A202" s="269" t="s">
        <v>189</v>
      </c>
      <c r="B202" s="270">
        <f>B201+B199</f>
        <v>97145947</v>
      </c>
      <c r="C202" s="270">
        <f>C201+C199</f>
        <v>97145947</v>
      </c>
      <c r="D202" s="270">
        <f>D201+D199</f>
        <v>74985512.11</v>
      </c>
      <c r="E202" s="267"/>
      <c r="G202" s="16"/>
      <c r="H202" s="283"/>
      <c r="I202" s="283">
        <f>H198*J194</f>
        <v>7797186.283941676</v>
      </c>
      <c r="J202" s="283"/>
      <c r="K202" s="284" t="s">
        <v>202</v>
      </c>
    </row>
    <row r="203" spans="1:11" ht="12.75">
      <c r="A203" s="269"/>
      <c r="B203" s="270"/>
      <c r="C203" s="270"/>
      <c r="D203" s="270"/>
      <c r="E203" s="267"/>
      <c r="G203" s="16"/>
      <c r="H203" s="283"/>
      <c r="I203" s="283"/>
      <c r="J203" s="283"/>
      <c r="K203" s="284"/>
    </row>
    <row r="204" spans="1:11" ht="12.75">
      <c r="A204" s="266">
        <v>2011</v>
      </c>
      <c r="B204" s="267">
        <f>B36-B120</f>
        <v>32434758</v>
      </c>
      <c r="C204" s="267">
        <f>C36-C120</f>
        <v>32434758</v>
      </c>
      <c r="D204" s="267">
        <f>D36-D120</f>
        <v>4106169.4399999967</v>
      </c>
      <c r="E204" s="267"/>
      <c r="G204" s="16"/>
      <c r="H204" s="9"/>
      <c r="I204" s="283"/>
      <c r="J204" s="283"/>
      <c r="K204" s="284"/>
    </row>
    <row r="205" spans="1:11" ht="12.75">
      <c r="A205" s="269" t="s">
        <v>189</v>
      </c>
      <c r="B205" s="270">
        <f>B204+B202</f>
        <v>129580705</v>
      </c>
      <c r="C205" s="270">
        <f>C204+C202</f>
        <v>129580705</v>
      </c>
      <c r="D205" s="270">
        <f>D204+D202</f>
        <v>79091681.55</v>
      </c>
      <c r="E205" s="271"/>
      <c r="G205" s="285" t="s">
        <v>204</v>
      </c>
      <c r="H205" s="283">
        <v>97171377</v>
      </c>
      <c r="I205" s="283">
        <f>H205*J190</f>
        <v>70455434.14743802</v>
      </c>
      <c r="J205" s="283"/>
      <c r="K205" s="284" t="s">
        <v>198</v>
      </c>
    </row>
    <row r="206" spans="1:11" ht="12.75">
      <c r="A206" s="269"/>
      <c r="B206" s="270"/>
      <c r="C206" s="270"/>
      <c r="D206" s="270"/>
      <c r="E206" s="267"/>
      <c r="G206" s="16"/>
      <c r="H206" s="283"/>
      <c r="I206" s="283">
        <f>H205*J191</f>
        <v>12201530.459730837</v>
      </c>
      <c r="J206" s="283"/>
      <c r="K206" s="284" t="s">
        <v>199</v>
      </c>
    </row>
    <row r="207" spans="1:11" ht="12.75">
      <c r="A207" s="266">
        <v>2012</v>
      </c>
      <c r="B207" s="267">
        <f>B39-B123</f>
        <v>10680000</v>
      </c>
      <c r="C207" s="267">
        <f>C39-C123</f>
        <v>0</v>
      </c>
      <c r="D207" s="267">
        <f>D39-D123</f>
        <v>0</v>
      </c>
      <c r="E207" s="267"/>
      <c r="G207" s="16"/>
      <c r="H207" s="283"/>
      <c r="I207" s="283">
        <f>H205*J192</f>
        <v>3439434.2163106934</v>
      </c>
      <c r="J207" s="283"/>
      <c r="K207" s="284" t="s">
        <v>200</v>
      </c>
    </row>
    <row r="208" spans="1:11" ht="12.75">
      <c r="A208" s="269" t="s">
        <v>189</v>
      </c>
      <c r="B208" s="270">
        <f>B207+B205</f>
        <v>140260705</v>
      </c>
      <c r="C208" s="270">
        <f>C207+C205</f>
        <v>129580705</v>
      </c>
      <c r="D208" s="270">
        <f>D205</f>
        <v>79091681.55</v>
      </c>
      <c r="E208" s="267"/>
      <c r="G208" s="16"/>
      <c r="H208" s="283"/>
      <c r="I208" s="283">
        <f>H205*J193</f>
        <v>5227940.008792254</v>
      </c>
      <c r="J208" s="283"/>
      <c r="K208" s="284" t="s">
        <v>201</v>
      </c>
    </row>
    <row r="209" spans="1:11" ht="13.5" thickBot="1">
      <c r="A209" s="269"/>
      <c r="B209" s="270"/>
      <c r="C209" s="270"/>
      <c r="D209" s="270"/>
      <c r="E209" s="267"/>
      <c r="G209" s="17"/>
      <c r="H209" s="286"/>
      <c r="I209" s="286">
        <f>H205*J194</f>
        <v>5847038.167728179</v>
      </c>
      <c r="J209" s="286"/>
      <c r="K209" s="287" t="s">
        <v>202</v>
      </c>
    </row>
    <row r="210" spans="1:5" ht="12.75">
      <c r="A210" s="266">
        <v>2013</v>
      </c>
      <c r="B210" s="267">
        <f>B42-B126</f>
        <v>1000000</v>
      </c>
      <c r="C210" s="267">
        <f>C42-C126</f>
        <v>0</v>
      </c>
      <c r="D210" s="267">
        <f>D42-D126</f>
        <v>0</v>
      </c>
      <c r="E210" s="267"/>
    </row>
    <row r="211" spans="1:5" ht="13.5" thickBot="1">
      <c r="A211" s="269" t="s">
        <v>189</v>
      </c>
      <c r="B211" s="270">
        <f>B210+B208</f>
        <v>141260705</v>
      </c>
      <c r="C211" s="270">
        <f>C210+C208</f>
        <v>129580705</v>
      </c>
      <c r="D211" s="270">
        <f>D208</f>
        <v>79091681.55</v>
      </c>
      <c r="E211" s="267"/>
    </row>
    <row r="212" spans="1:11" ht="12.75">
      <c r="A212" s="269"/>
      <c r="B212" s="270"/>
      <c r="C212" s="270"/>
      <c r="D212" s="270"/>
      <c r="E212" s="267"/>
      <c r="G212" s="288" t="s">
        <v>205</v>
      </c>
      <c r="H212" s="282">
        <v>10680000</v>
      </c>
      <c r="I212" s="282">
        <f>H212*J190</f>
        <v>7743679.876993388</v>
      </c>
      <c r="J212" s="289"/>
      <c r="K212" s="57" t="s">
        <v>198</v>
      </c>
    </row>
    <row r="213" spans="1:11" ht="12.75">
      <c r="A213" s="266">
        <v>2014</v>
      </c>
      <c r="B213" s="267">
        <f>B45-B129</f>
        <v>0</v>
      </c>
      <c r="C213" s="267">
        <f>C45-C129</f>
        <v>0</v>
      </c>
      <c r="D213" s="267">
        <f>D45-D129</f>
        <v>0</v>
      </c>
      <c r="E213" s="267"/>
      <c r="G213" s="16"/>
      <c r="H213" s="9"/>
      <c r="I213" s="283">
        <f>H212*J191</f>
        <v>1341056.8969288697</v>
      </c>
      <c r="J213" s="9"/>
      <c r="K213" s="284" t="s">
        <v>199</v>
      </c>
    </row>
    <row r="214" spans="1:11" ht="12.75">
      <c r="A214" s="269" t="s">
        <v>189</v>
      </c>
      <c r="B214" s="270">
        <f>B213+B211</f>
        <v>141260705</v>
      </c>
      <c r="C214" s="270">
        <f>C213+C211</f>
        <v>129580705</v>
      </c>
      <c r="D214" s="270">
        <f>D211</f>
        <v>79091681.55</v>
      </c>
      <c r="E214" s="267"/>
      <c r="G214" s="16"/>
      <c r="H214" s="9"/>
      <c r="I214" s="283">
        <f>H212*J192</f>
        <v>378024.46115586284</v>
      </c>
      <c r="J214" s="9"/>
      <c r="K214" s="284" t="s">
        <v>200</v>
      </c>
    </row>
    <row r="215" spans="1:11" ht="12.75">
      <c r="A215" s="262"/>
      <c r="B215" s="273"/>
      <c r="C215" s="273"/>
      <c r="D215" s="273"/>
      <c r="E215" s="273"/>
      <c r="G215" s="16"/>
      <c r="H215" s="9"/>
      <c r="I215" s="283">
        <f>H212*J193</f>
        <v>574597.1809569115</v>
      </c>
      <c r="J215" s="9"/>
      <c r="K215" s="284" t="s">
        <v>201</v>
      </c>
    </row>
    <row r="216" spans="1:11" ht="12.75">
      <c r="A216" s="263"/>
      <c r="B216" s="256"/>
      <c r="C216" s="256"/>
      <c r="D216" s="256"/>
      <c r="E216" s="256"/>
      <c r="G216" s="16"/>
      <c r="H216" s="9"/>
      <c r="I216" s="283">
        <f>H212*J194</f>
        <v>642641.5839649669</v>
      </c>
      <c r="J216" s="9"/>
      <c r="K216" s="284" t="s">
        <v>202</v>
      </c>
    </row>
    <row r="217" spans="1:11" ht="13.5" thickBot="1">
      <c r="A217" s="263"/>
      <c r="B217" s="256"/>
      <c r="C217" s="256"/>
      <c r="D217" s="256"/>
      <c r="E217" s="256"/>
      <c r="G217" s="16"/>
      <c r="H217" s="9"/>
      <c r="I217" s="283"/>
      <c r="J217" s="9"/>
      <c r="K217" s="284"/>
    </row>
    <row r="218" spans="1:11" ht="13.5" thickTop="1">
      <c r="A218" s="257"/>
      <c r="B218" s="258" t="s">
        <v>190</v>
      </c>
      <c r="C218" s="259" t="s">
        <v>190</v>
      </c>
      <c r="D218" s="259" t="s">
        <v>191</v>
      </c>
      <c r="E218" s="259" t="s">
        <v>190</v>
      </c>
      <c r="G218" s="13" t="s">
        <v>206</v>
      </c>
      <c r="H218" s="283">
        <v>30299328</v>
      </c>
      <c r="I218" s="283">
        <f>H218*J190</f>
        <v>21968941.621724937</v>
      </c>
      <c r="J218" s="9"/>
      <c r="K218" s="284" t="s">
        <v>198</v>
      </c>
    </row>
    <row r="219" spans="1:11" ht="12.75">
      <c r="A219" s="260"/>
      <c r="B219" s="261" t="s">
        <v>192</v>
      </c>
      <c r="C219" s="262" t="s">
        <v>193</v>
      </c>
      <c r="D219" s="262" t="s">
        <v>187</v>
      </c>
      <c r="E219" s="262" t="s">
        <v>194</v>
      </c>
      <c r="G219" s="16"/>
      <c r="H219" s="283"/>
      <c r="I219" s="283">
        <f>H218*J191</f>
        <v>3804599.5118642338</v>
      </c>
      <c r="J219" s="9"/>
      <c r="K219" s="284" t="s">
        <v>199</v>
      </c>
    </row>
    <row r="220" spans="1:11" ht="12.75">
      <c r="A220" s="263"/>
      <c r="B220" s="256"/>
      <c r="C220" s="256"/>
      <c r="D220" s="256"/>
      <c r="E220" s="256"/>
      <c r="G220" s="16"/>
      <c r="H220" s="283"/>
      <c r="I220" s="283">
        <f>H218*J192</f>
        <v>1072461.342751381</v>
      </c>
      <c r="J220" s="9"/>
      <c r="K220" s="284" t="s">
        <v>200</v>
      </c>
    </row>
    <row r="221" spans="1:11" ht="12.75">
      <c r="A221" s="274"/>
      <c r="B221" s="275"/>
      <c r="C221" s="275"/>
      <c r="D221" s="275"/>
      <c r="E221" s="275"/>
      <c r="G221" s="16"/>
      <c r="H221" s="283"/>
      <c r="I221" s="283">
        <f>H218*J193</f>
        <v>1630141.240982099</v>
      </c>
      <c r="J221" s="9"/>
      <c r="K221" s="284" t="s">
        <v>201</v>
      </c>
    </row>
    <row r="222" spans="1:11" ht="13.5" thickBot="1">
      <c r="A222" s="266">
        <v>2008</v>
      </c>
      <c r="B222" s="267">
        <f>B54-B138</f>
        <v>5000000</v>
      </c>
      <c r="C222" s="267">
        <f>C54-C138</f>
        <v>5000000</v>
      </c>
      <c r="D222" s="267">
        <f>D54-D138</f>
        <v>0</v>
      </c>
      <c r="E222" s="267"/>
      <c r="G222" s="17"/>
      <c r="H222" s="286"/>
      <c r="I222" s="286">
        <f>H218*J194</f>
        <v>1823184.2826773475</v>
      </c>
      <c r="J222" s="18"/>
      <c r="K222" s="287" t="s">
        <v>202</v>
      </c>
    </row>
    <row r="223" spans="1:9" ht="12.75">
      <c r="A223" s="269" t="s">
        <v>189</v>
      </c>
      <c r="B223" s="270">
        <f>B222</f>
        <v>5000000</v>
      </c>
      <c r="C223" s="270">
        <f>C222</f>
        <v>5000000</v>
      </c>
      <c r="D223" s="270">
        <f>D222</f>
        <v>0</v>
      </c>
      <c r="E223" s="267"/>
      <c r="H223" s="272"/>
      <c r="I223" s="272"/>
    </row>
    <row r="224" spans="1:5" ht="13.5" thickBot="1">
      <c r="A224" s="269"/>
      <c r="B224" s="270"/>
      <c r="C224" s="270"/>
      <c r="D224" s="270"/>
      <c r="E224" s="267"/>
    </row>
    <row r="225" spans="1:11" ht="12.75">
      <c r="A225" s="266">
        <v>2009</v>
      </c>
      <c r="B225" s="267">
        <f>B57-B141</f>
        <v>8434000</v>
      </c>
      <c r="C225" s="267">
        <f>C57-C141</f>
        <v>8434000</v>
      </c>
      <c r="D225" s="267">
        <f>D57-D141</f>
        <v>3471222.3200000003</v>
      </c>
      <c r="E225" s="267"/>
      <c r="G225" s="288" t="s">
        <v>207</v>
      </c>
      <c r="H225" s="282">
        <v>1000000</v>
      </c>
      <c r="I225" s="282">
        <f>$H$225*J190</f>
        <v>725063.658894512</v>
      </c>
      <c r="J225" s="289"/>
      <c r="K225" s="57" t="s">
        <v>198</v>
      </c>
    </row>
    <row r="226" spans="1:11" ht="12.75">
      <c r="A226" s="269" t="s">
        <v>189</v>
      </c>
      <c r="B226" s="270">
        <f>B225+B223</f>
        <v>13434000</v>
      </c>
      <c r="C226" s="270">
        <f>C225+C223</f>
        <v>13434000</v>
      </c>
      <c r="D226" s="270">
        <f>D225+D223</f>
        <v>3471222.3200000003</v>
      </c>
      <c r="E226" s="267"/>
      <c r="G226" s="16"/>
      <c r="H226" s="283"/>
      <c r="I226" s="283">
        <f>$H$225*J191</f>
        <v>125567.12518060578</v>
      </c>
      <c r="J226" s="9"/>
      <c r="K226" s="284" t="s">
        <v>199</v>
      </c>
    </row>
    <row r="227" spans="1:11" ht="12.75">
      <c r="A227" s="269"/>
      <c r="B227" s="270"/>
      <c r="C227" s="270"/>
      <c r="D227" s="270"/>
      <c r="E227" s="267"/>
      <c r="G227" s="16"/>
      <c r="H227" s="283"/>
      <c r="I227" s="283">
        <f>$H$225*J192</f>
        <v>35395.54879736544</v>
      </c>
      <c r="J227" s="9"/>
      <c r="K227" s="284" t="s">
        <v>200</v>
      </c>
    </row>
    <row r="228" spans="1:11" ht="12.75">
      <c r="A228" s="266">
        <v>2010</v>
      </c>
      <c r="B228" s="267">
        <f>B60-B144</f>
        <v>23860377</v>
      </c>
      <c r="C228" s="267">
        <f>C60-C144</f>
        <v>23860377</v>
      </c>
      <c r="D228" s="267">
        <f>D60-D144</f>
        <v>14963984.570000002</v>
      </c>
      <c r="E228" s="267"/>
      <c r="G228" s="16"/>
      <c r="H228" s="283"/>
      <c r="I228" s="283">
        <f>$H$225*J193</f>
        <v>53801.234171995464</v>
      </c>
      <c r="J228" s="9"/>
      <c r="K228" s="284" t="s">
        <v>201</v>
      </c>
    </row>
    <row r="229" spans="1:11" ht="12.75">
      <c r="A229" s="269" t="s">
        <v>189</v>
      </c>
      <c r="B229" s="270">
        <f>B228+B226</f>
        <v>37294377</v>
      </c>
      <c r="C229" s="270">
        <f>C228+C226</f>
        <v>37294377</v>
      </c>
      <c r="D229" s="270">
        <f>D228+D226</f>
        <v>18435206.89</v>
      </c>
      <c r="E229" s="267"/>
      <c r="G229" s="16"/>
      <c r="H229" s="283"/>
      <c r="I229" s="283">
        <f>$H$225*J194</f>
        <v>60172.432955521246</v>
      </c>
      <c r="J229" s="9"/>
      <c r="K229" s="284" t="s">
        <v>202</v>
      </c>
    </row>
    <row r="230" spans="1:11" ht="12.75">
      <c r="A230" s="269"/>
      <c r="B230" s="270"/>
      <c r="C230" s="270"/>
      <c r="D230" s="270"/>
      <c r="E230" s="267"/>
      <c r="G230" s="16"/>
      <c r="H230" s="283"/>
      <c r="I230" s="283"/>
      <c r="J230" s="9"/>
      <c r="K230" s="284"/>
    </row>
    <row r="231" spans="1:11" ht="12.75">
      <c r="A231" s="266">
        <v>2011</v>
      </c>
      <c r="B231" s="267">
        <f>B63-B147</f>
        <v>59877000</v>
      </c>
      <c r="C231" s="267">
        <f>C63-C147</f>
        <v>37457000</v>
      </c>
      <c r="D231" s="267">
        <f>D63-D147</f>
        <v>11473664.230000002</v>
      </c>
      <c r="E231" s="267"/>
      <c r="G231" s="13" t="s">
        <v>208</v>
      </c>
      <c r="H231" s="283">
        <v>13790000</v>
      </c>
      <c r="I231" s="283">
        <f>$H$231*J190</f>
        <v>9998627.85615532</v>
      </c>
      <c r="J231" s="9"/>
      <c r="K231" s="284" t="s">
        <v>198</v>
      </c>
    </row>
    <row r="232" spans="1:11" ht="12.75">
      <c r="A232" s="269" t="s">
        <v>189</v>
      </c>
      <c r="B232" s="270">
        <f>B231+B229</f>
        <v>97171377</v>
      </c>
      <c r="C232" s="270">
        <f>C231+C229</f>
        <v>74751377</v>
      </c>
      <c r="D232" s="270">
        <f>D231+D229</f>
        <v>29908871.120000005</v>
      </c>
      <c r="E232" s="271">
        <f>E64-E121</f>
        <v>22420000</v>
      </c>
      <c r="G232" s="16"/>
      <c r="H232" s="283"/>
      <c r="I232" s="283">
        <f>$H$231*J191</f>
        <v>1731570.6562405538</v>
      </c>
      <c r="J232" s="9"/>
      <c r="K232" s="284" t="s">
        <v>199</v>
      </c>
    </row>
    <row r="233" spans="1:11" ht="12.75">
      <c r="A233" s="269"/>
      <c r="B233" s="270"/>
      <c r="C233" s="270"/>
      <c r="D233" s="270"/>
      <c r="E233" s="267"/>
      <c r="G233" s="16"/>
      <c r="H233" s="283"/>
      <c r="I233" s="283">
        <f>$H$231*J192</f>
        <v>488104.6179156694</v>
      </c>
      <c r="J233" s="9"/>
      <c r="K233" s="284" t="s">
        <v>200</v>
      </c>
    </row>
    <row r="234" spans="1:11" ht="12.75">
      <c r="A234" s="266">
        <v>2012</v>
      </c>
      <c r="B234" s="267">
        <f>B66-B150</f>
        <v>30299328</v>
      </c>
      <c r="C234" s="267">
        <f>C66-C150</f>
        <v>0</v>
      </c>
      <c r="D234" s="267">
        <f>D66-D150</f>
        <v>0</v>
      </c>
      <c r="E234" s="267"/>
      <c r="G234" s="16"/>
      <c r="H234" s="283"/>
      <c r="I234" s="283">
        <f>$H$231*J193</f>
        <v>741919.0192318175</v>
      </c>
      <c r="J234" s="9"/>
      <c r="K234" s="284" t="s">
        <v>201</v>
      </c>
    </row>
    <row r="235" spans="1:11" ht="13.5" thickBot="1">
      <c r="A235" s="269" t="s">
        <v>189</v>
      </c>
      <c r="B235" s="270">
        <f>B234+B232</f>
        <v>127470705</v>
      </c>
      <c r="C235" s="270">
        <f>C234+C232</f>
        <v>74751377</v>
      </c>
      <c r="D235" s="270">
        <f>D232</f>
        <v>29908871.120000005</v>
      </c>
      <c r="E235" s="267"/>
      <c r="G235" s="17"/>
      <c r="H235" s="286"/>
      <c r="I235" s="286">
        <f>$H$231*J194</f>
        <v>829777.8504566379</v>
      </c>
      <c r="J235" s="18"/>
      <c r="K235" s="287" t="s">
        <v>202</v>
      </c>
    </row>
    <row r="236" spans="1:9" ht="12.75">
      <c r="A236" s="269"/>
      <c r="B236" s="270"/>
      <c r="C236" s="270"/>
      <c r="D236" s="270"/>
      <c r="E236" s="267"/>
      <c r="H236" s="272"/>
      <c r="I236" s="272"/>
    </row>
    <row r="237" spans="1:9" ht="12.75">
      <c r="A237" s="266">
        <v>2013</v>
      </c>
      <c r="B237" s="267">
        <f>B69-B153</f>
        <v>13790000</v>
      </c>
      <c r="C237" s="267">
        <f>C69-C153</f>
        <v>0</v>
      </c>
      <c r="D237" s="267">
        <f>D69-D153</f>
        <v>0</v>
      </c>
      <c r="E237" s="267"/>
      <c r="H237" s="272"/>
      <c r="I237" s="272"/>
    </row>
    <row r="238" spans="1:9" ht="12.75">
      <c r="A238" s="269" t="s">
        <v>189</v>
      </c>
      <c r="B238" s="270">
        <f>B237+B235</f>
        <v>141260705</v>
      </c>
      <c r="C238" s="270">
        <f>C237+C235</f>
        <v>74751377</v>
      </c>
      <c r="D238" s="270">
        <f>D235</f>
        <v>29908871.120000005</v>
      </c>
      <c r="E238" s="267"/>
      <c r="H238" s="272"/>
      <c r="I238" s="272"/>
    </row>
    <row r="239" spans="1:5" ht="12.75">
      <c r="A239" s="269"/>
      <c r="B239" s="270"/>
      <c r="C239" s="270"/>
      <c r="D239" s="270"/>
      <c r="E239" s="267"/>
    </row>
    <row r="240" spans="1:5" ht="12.75">
      <c r="A240" s="266">
        <v>2014</v>
      </c>
      <c r="B240" s="267">
        <f>B72-B156</f>
        <v>0</v>
      </c>
      <c r="C240" s="267">
        <f>C72-C156</f>
        <v>0</v>
      </c>
      <c r="D240" s="267">
        <f>D72-D156</f>
        <v>0</v>
      </c>
      <c r="E240" s="267"/>
    </row>
    <row r="241" spans="1:5" ht="12.75">
      <c r="A241" s="269" t="s">
        <v>189</v>
      </c>
      <c r="B241" s="270">
        <f>B240+B238</f>
        <v>141260705</v>
      </c>
      <c r="C241" s="270">
        <f>C240+C238</f>
        <v>74751377</v>
      </c>
      <c r="D241" s="270">
        <f>D238</f>
        <v>29908871.120000005</v>
      </c>
      <c r="E241" s="267"/>
    </row>
    <row r="242" spans="1:5" ht="12.75">
      <c r="A242" s="262"/>
      <c r="B242" s="273"/>
      <c r="C242" s="273"/>
      <c r="D242" s="273"/>
      <c r="E242" s="273"/>
    </row>
    <row r="243" spans="1:5" ht="12.75">
      <c r="A243" s="263"/>
      <c r="B243" s="256"/>
      <c r="C243" s="256"/>
      <c r="D243" s="256"/>
      <c r="E243" s="256"/>
    </row>
    <row r="244" spans="1:5" ht="12.75">
      <c r="A244" s="276" t="s">
        <v>195</v>
      </c>
      <c r="B244" s="276"/>
      <c r="C244" s="277"/>
      <c r="D244" s="278"/>
      <c r="E244" s="256"/>
    </row>
    <row r="247" ht="12.75">
      <c r="E247" s="272"/>
    </row>
  </sheetData>
  <sheetProtection/>
  <mergeCells count="7">
    <mergeCell ref="I189:K189"/>
    <mergeCell ref="A186:B186"/>
    <mergeCell ref="A187:B187"/>
    <mergeCell ref="A18:B18"/>
    <mergeCell ref="A19:B19"/>
    <mergeCell ref="A102:B102"/>
    <mergeCell ref="A103:B103"/>
  </mergeCells>
  <printOptions horizontalCentered="1" verticalCentered="1"/>
  <pageMargins left="0" right="0" top="0.3937007874015748" bottom="0.3937007874015748" header="0.7086614173228347" footer="0.5118110236220472"/>
  <pageSetup horizontalDpi="600" verticalDpi="600" orientation="portrait" paperSize="9" scale="75" r:id="rId1"/>
  <headerFooter alignWithMargins="0">
    <oddHeader>&amp;L&amp;8OPPIC/DAF/OG&amp;C&amp;"Arial,Gras"&amp;U
DECOMPTE PERIODIQUE AU 23 AOUT 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70"/>
  <sheetViews>
    <sheetView zoomScale="75" zoomScaleNormal="75" zoomScalePageLayoutView="0" workbookViewId="0" topLeftCell="A133">
      <selection activeCell="J9" sqref="J9"/>
    </sheetView>
  </sheetViews>
  <sheetFormatPr defaultColWidth="11.421875" defaultRowHeight="12.75"/>
  <cols>
    <col min="1" max="1" width="25.28125" style="0" customWidth="1"/>
    <col min="2" max="2" width="33.140625" style="0" customWidth="1"/>
    <col min="3" max="3" width="12.140625" style="0" customWidth="1"/>
    <col min="4" max="4" width="18.57421875" style="0" customWidth="1"/>
    <col min="5" max="5" width="5.8515625" style="579" customWidth="1"/>
    <col min="6" max="6" width="19.421875" style="0" customWidth="1"/>
    <col min="7" max="7" width="19.28125" style="0" customWidth="1"/>
    <col min="8" max="10" width="21.7109375" style="0" customWidth="1"/>
    <col min="11" max="11" width="17.57421875" style="0" customWidth="1"/>
    <col min="12" max="16384" width="11.421875" style="220" customWidth="1"/>
  </cols>
  <sheetData>
    <row r="1" spans="1:3" ht="15">
      <c r="A1" s="815" t="s">
        <v>229</v>
      </c>
      <c r="B1" s="815"/>
      <c r="C1" s="2" t="s">
        <v>230</v>
      </c>
    </row>
    <row r="2" ht="13.5" thickBot="1"/>
    <row r="3" spans="1:12" ht="13.5" customHeight="1" thickBot="1">
      <c r="A3" s="833" t="s">
        <v>4</v>
      </c>
      <c r="B3" s="833" t="s">
        <v>5</v>
      </c>
      <c r="C3" s="829" t="s">
        <v>20</v>
      </c>
      <c r="D3" s="831" t="s">
        <v>7</v>
      </c>
      <c r="E3" s="818"/>
      <c r="F3" s="831" t="s">
        <v>56</v>
      </c>
      <c r="G3" s="831" t="s">
        <v>40</v>
      </c>
      <c r="H3" s="817" t="s">
        <v>120</v>
      </c>
      <c r="I3" s="817" t="s">
        <v>119</v>
      </c>
      <c r="J3" s="817" t="s">
        <v>121</v>
      </c>
      <c r="K3" s="820" t="s">
        <v>2</v>
      </c>
      <c r="L3" s="821"/>
    </row>
    <row r="4" spans="1:12" ht="30.75" customHeight="1" thickBot="1">
      <c r="A4" s="834"/>
      <c r="B4" s="834"/>
      <c r="C4" s="830"/>
      <c r="D4" s="832"/>
      <c r="E4" s="819"/>
      <c r="F4" s="832"/>
      <c r="G4" s="832"/>
      <c r="H4" s="813"/>
      <c r="I4" s="814"/>
      <c r="J4" s="814"/>
      <c r="K4" s="832"/>
      <c r="L4" s="816"/>
    </row>
    <row r="5" spans="1:12" ht="12.75" customHeight="1">
      <c r="A5" s="4"/>
      <c r="B5" s="5"/>
      <c r="C5" s="47"/>
      <c r="D5" s="4"/>
      <c r="E5" s="580"/>
      <c r="F5" s="5"/>
      <c r="G5" s="6"/>
      <c r="H5" s="4"/>
      <c r="I5" s="47"/>
      <c r="J5" s="6"/>
      <c r="K5" s="80"/>
      <c r="L5" s="221"/>
    </row>
    <row r="6" spans="1:12" ht="12.75" customHeight="1">
      <c r="A6" s="7"/>
      <c r="B6" s="8"/>
      <c r="C6" s="49"/>
      <c r="D6" s="7"/>
      <c r="E6" s="582"/>
      <c r="F6" s="8"/>
      <c r="G6" s="58"/>
      <c r="H6" s="69"/>
      <c r="I6" s="48"/>
      <c r="J6" s="79"/>
      <c r="K6" s="81"/>
      <c r="L6" s="221"/>
    </row>
    <row r="7" spans="1:12" ht="12.75" customHeight="1">
      <c r="A7" s="189" t="s">
        <v>8</v>
      </c>
      <c r="B7" s="190" t="s">
        <v>9</v>
      </c>
      <c r="C7" s="191" t="s">
        <v>10</v>
      </c>
      <c r="D7" s="192">
        <v>7455</v>
      </c>
      <c r="E7" s="179" t="s">
        <v>105</v>
      </c>
      <c r="F7" s="180">
        <v>0</v>
      </c>
      <c r="G7" s="181">
        <f>D7+F7</f>
        <v>7455</v>
      </c>
      <c r="H7" s="192">
        <v>7455</v>
      </c>
      <c r="I7" s="193">
        <v>0</v>
      </c>
      <c r="J7" s="194">
        <f>I7+H7</f>
        <v>7455</v>
      </c>
      <c r="K7" s="183">
        <f>J7/G7</f>
        <v>1</v>
      </c>
      <c r="L7" s="221"/>
    </row>
    <row r="8" spans="1:12" ht="12.75" customHeight="1">
      <c r="A8" s="7"/>
      <c r="B8" s="8"/>
      <c r="C8" s="49"/>
      <c r="D8" s="69"/>
      <c r="E8" s="582"/>
      <c r="F8" s="10"/>
      <c r="G8" s="58"/>
      <c r="H8" s="69"/>
      <c r="I8" s="48"/>
      <c r="J8" s="79"/>
      <c r="K8" s="82"/>
      <c r="L8" s="221"/>
    </row>
    <row r="9" spans="1:12" ht="12.75" customHeight="1">
      <c r="A9" s="189" t="s">
        <v>11</v>
      </c>
      <c r="B9" s="190" t="s">
        <v>12</v>
      </c>
      <c r="C9" s="191" t="s">
        <v>68</v>
      </c>
      <c r="D9" s="192">
        <v>160000</v>
      </c>
      <c r="E9" s="179"/>
      <c r="F9" s="180">
        <v>0</v>
      </c>
      <c r="G9" s="181">
        <f>D9+F9</f>
        <v>160000</v>
      </c>
      <c r="H9" s="192">
        <v>159067.75</v>
      </c>
      <c r="I9" s="193">
        <v>0</v>
      </c>
      <c r="J9" s="194">
        <f>I9+H9</f>
        <v>159067.75</v>
      </c>
      <c r="K9" s="183">
        <f>J9/G9</f>
        <v>0.9941734375</v>
      </c>
      <c r="L9" s="221"/>
    </row>
    <row r="10" spans="1:12" ht="12" customHeight="1">
      <c r="A10" s="7"/>
      <c r="B10" s="8"/>
      <c r="C10" s="49"/>
      <c r="D10" s="69"/>
      <c r="E10" s="582"/>
      <c r="F10" s="10"/>
      <c r="G10" s="58"/>
      <c r="H10" s="7"/>
      <c r="I10" s="49"/>
      <c r="J10" s="12"/>
      <c r="K10" s="81"/>
      <c r="L10" s="221"/>
    </row>
    <row r="11" spans="1:11" s="222" customFormat="1" ht="12.75" customHeight="1">
      <c r="A11" s="148" t="s">
        <v>6</v>
      </c>
      <c r="B11" s="149" t="s">
        <v>383</v>
      </c>
      <c r="C11" s="769"/>
      <c r="D11" s="150">
        <v>7001729.61</v>
      </c>
      <c r="E11" s="581"/>
      <c r="F11" s="151">
        <v>1105000</v>
      </c>
      <c r="G11" s="152">
        <f>D11+F11</f>
        <v>8106729.61</v>
      </c>
      <c r="H11" s="150">
        <v>6009655.72</v>
      </c>
      <c r="I11" s="153">
        <v>985216.24</v>
      </c>
      <c r="J11" s="154">
        <f>I11+H11</f>
        <v>6994871.96</v>
      </c>
      <c r="K11" s="155">
        <f>J11/G11</f>
        <v>0.8628475718952713</v>
      </c>
    </row>
    <row r="12" spans="1:11" ht="12.75">
      <c r="A12" s="16"/>
      <c r="B12" s="9"/>
      <c r="C12" s="67"/>
      <c r="D12" s="70"/>
      <c r="E12" s="582"/>
      <c r="F12" s="10"/>
      <c r="G12" s="58"/>
      <c r="H12" s="70"/>
      <c r="I12" s="50"/>
      <c r="J12" s="58"/>
      <c r="K12" s="83"/>
    </row>
    <row r="13" spans="1:11" ht="12.75">
      <c r="A13" s="165" t="s">
        <v>13</v>
      </c>
      <c r="B13" s="166" t="s">
        <v>384</v>
      </c>
      <c r="C13" s="167" t="s">
        <v>14</v>
      </c>
      <c r="D13" s="168">
        <v>158611.13</v>
      </c>
      <c r="E13" s="173"/>
      <c r="F13" s="169">
        <v>20000</v>
      </c>
      <c r="G13" s="170">
        <f>D13+F13</f>
        <v>178611.13</v>
      </c>
      <c r="H13" s="168">
        <v>147233.81</v>
      </c>
      <c r="I13" s="171">
        <v>18122.79</v>
      </c>
      <c r="J13" s="170">
        <f>I13+H13</f>
        <v>165356.6</v>
      </c>
      <c r="K13" s="172">
        <f>J13/G13</f>
        <v>0.9257911307094916</v>
      </c>
    </row>
    <row r="14" spans="1:11" ht="12.75">
      <c r="A14" s="16"/>
      <c r="B14" s="9"/>
      <c r="C14" s="67"/>
      <c r="D14" s="70"/>
      <c r="E14" s="582"/>
      <c r="F14" s="10"/>
      <c r="G14" s="58"/>
      <c r="H14" s="70"/>
      <c r="I14" s="50"/>
      <c r="J14" s="58"/>
      <c r="K14" s="83"/>
    </row>
    <row r="15" spans="1:11" ht="12.75">
      <c r="A15" s="165" t="s">
        <v>15</v>
      </c>
      <c r="B15" s="166" t="s">
        <v>385</v>
      </c>
      <c r="C15" s="167" t="s">
        <v>14</v>
      </c>
      <c r="D15" s="168">
        <v>352323.66</v>
      </c>
      <c r="E15" s="173"/>
      <c r="F15" s="169">
        <v>40000</v>
      </c>
      <c r="G15" s="170">
        <f>D15+F15</f>
        <v>392323.66</v>
      </c>
      <c r="H15" s="168">
        <v>328920.96</v>
      </c>
      <c r="I15" s="171">
        <v>38100.5</v>
      </c>
      <c r="J15" s="170">
        <f>I15+H15</f>
        <v>367021.46</v>
      </c>
      <c r="K15" s="172">
        <f>J15/G15</f>
        <v>0.9355068210772709</v>
      </c>
    </row>
    <row r="16" spans="1:11" ht="12.75">
      <c r="A16" s="16"/>
      <c r="B16" s="9"/>
      <c r="C16" s="67"/>
      <c r="D16" s="70"/>
      <c r="E16" s="582"/>
      <c r="F16" s="10"/>
      <c r="G16" s="58"/>
      <c r="H16" s="70"/>
      <c r="I16" s="50"/>
      <c r="J16" s="58"/>
      <c r="K16" s="83"/>
    </row>
    <row r="17" spans="1:11" ht="12.75">
      <c r="A17" s="165" t="s">
        <v>16</v>
      </c>
      <c r="B17" s="166" t="s">
        <v>17</v>
      </c>
      <c r="C17" s="167" t="s">
        <v>10</v>
      </c>
      <c r="D17" s="168">
        <v>22544.6</v>
      </c>
      <c r="E17" s="173" t="s">
        <v>105</v>
      </c>
      <c r="F17" s="169">
        <v>0</v>
      </c>
      <c r="G17" s="170">
        <f>D17+F17</f>
        <v>22544.6</v>
      </c>
      <c r="H17" s="168">
        <v>22544.6</v>
      </c>
      <c r="I17" s="171">
        <v>0</v>
      </c>
      <c r="J17" s="170">
        <f>I17+H17</f>
        <v>22544.6</v>
      </c>
      <c r="K17" s="172">
        <f>J17/G17</f>
        <v>1</v>
      </c>
    </row>
    <row r="18" spans="1:11" ht="12.75">
      <c r="A18" s="16"/>
      <c r="B18" s="9"/>
      <c r="C18" s="67"/>
      <c r="D18" s="70"/>
      <c r="E18" s="582"/>
      <c r="F18" s="10"/>
      <c r="G18" s="58"/>
      <c r="H18" s="70"/>
      <c r="I18" s="50"/>
      <c r="J18" s="58"/>
      <c r="K18" s="83"/>
    </row>
    <row r="19" spans="1:11" ht="12.75">
      <c r="A19" s="175" t="s">
        <v>18</v>
      </c>
      <c r="B19" s="176" t="s">
        <v>19</v>
      </c>
      <c r="C19" s="177" t="s">
        <v>10</v>
      </c>
      <c r="D19" s="178">
        <v>30438.2</v>
      </c>
      <c r="E19" s="179" t="s">
        <v>105</v>
      </c>
      <c r="F19" s="180">
        <v>0</v>
      </c>
      <c r="G19" s="181">
        <f>D19+F19</f>
        <v>30438.2</v>
      </c>
      <c r="H19" s="178">
        <v>29959.8</v>
      </c>
      <c r="I19" s="182">
        <v>0</v>
      </c>
      <c r="J19" s="181">
        <f>I19+H19</f>
        <v>29959.8</v>
      </c>
      <c r="K19" s="183">
        <f>J19/G19</f>
        <v>0.9842829076620825</v>
      </c>
    </row>
    <row r="20" spans="1:11" ht="12.75">
      <c r="A20" s="16"/>
      <c r="B20" s="9"/>
      <c r="C20" s="67"/>
      <c r="D20" s="70"/>
      <c r="E20" s="582"/>
      <c r="F20" s="10"/>
      <c r="G20" s="58"/>
      <c r="H20" s="70"/>
      <c r="I20" s="50"/>
      <c r="J20" s="58"/>
      <c r="K20" s="83"/>
    </row>
    <row r="21" spans="1:11" ht="12.75">
      <c r="A21" s="165" t="s">
        <v>21</v>
      </c>
      <c r="B21" s="166" t="s">
        <v>24</v>
      </c>
      <c r="C21" s="167" t="s">
        <v>23</v>
      </c>
      <c r="D21" s="168">
        <v>98072</v>
      </c>
      <c r="E21" s="173" t="s">
        <v>105</v>
      </c>
      <c r="F21" s="169">
        <v>0</v>
      </c>
      <c r="G21" s="170">
        <f>D21+F21</f>
        <v>98072</v>
      </c>
      <c r="H21" s="168">
        <v>98072</v>
      </c>
      <c r="I21" s="171">
        <v>0</v>
      </c>
      <c r="J21" s="170">
        <f>I21+H21</f>
        <v>98072</v>
      </c>
      <c r="K21" s="172">
        <f>J21/G21</f>
        <v>1</v>
      </c>
    </row>
    <row r="22" spans="1:11" ht="12.75">
      <c r="A22" s="16"/>
      <c r="B22" s="9"/>
      <c r="C22" s="67"/>
      <c r="D22" s="70"/>
      <c r="E22" s="582"/>
      <c r="F22" s="10"/>
      <c r="G22" s="58"/>
      <c r="H22" s="70"/>
      <c r="I22" s="50"/>
      <c r="J22" s="58"/>
      <c r="K22" s="83"/>
    </row>
    <row r="23" spans="1:11" ht="12.75">
      <c r="A23" s="165" t="s">
        <v>25</v>
      </c>
      <c r="B23" s="166" t="s">
        <v>26</v>
      </c>
      <c r="C23" s="167" t="s">
        <v>10</v>
      </c>
      <c r="D23" s="168">
        <v>41860</v>
      </c>
      <c r="E23" s="173" t="s">
        <v>105</v>
      </c>
      <c r="F23" s="169">
        <v>0</v>
      </c>
      <c r="G23" s="170">
        <f>D23+F23</f>
        <v>41860</v>
      </c>
      <c r="H23" s="168">
        <v>41860</v>
      </c>
      <c r="I23" s="171">
        <v>0</v>
      </c>
      <c r="J23" s="170">
        <f>I23+H23</f>
        <v>41860</v>
      </c>
      <c r="K23" s="172">
        <f>J23/G23</f>
        <v>1</v>
      </c>
    </row>
    <row r="24" spans="1:11" ht="12.75">
      <c r="A24" s="16"/>
      <c r="B24" s="9"/>
      <c r="C24" s="67"/>
      <c r="D24" s="70"/>
      <c r="E24" s="582"/>
      <c r="F24" s="10"/>
      <c r="G24" s="58"/>
      <c r="H24" s="70"/>
      <c r="I24" s="50"/>
      <c r="J24" s="58"/>
      <c r="K24" s="83"/>
    </row>
    <row r="25" spans="1:11" ht="12.75">
      <c r="A25" s="165" t="s">
        <v>25</v>
      </c>
      <c r="B25" s="166" t="s">
        <v>27</v>
      </c>
      <c r="C25" s="167" t="s">
        <v>10</v>
      </c>
      <c r="D25" s="168">
        <v>27777.1</v>
      </c>
      <c r="E25" s="173"/>
      <c r="F25" s="169">
        <v>0</v>
      </c>
      <c r="G25" s="170">
        <f>D25+F25</f>
        <v>27777.1</v>
      </c>
      <c r="H25" s="168">
        <v>22221.68</v>
      </c>
      <c r="I25" s="171">
        <v>0</v>
      </c>
      <c r="J25" s="170">
        <f>I25+H25</f>
        <v>22221.68</v>
      </c>
      <c r="K25" s="172">
        <f>J25/G25</f>
        <v>0.8</v>
      </c>
    </row>
    <row r="26" spans="1:11" ht="12.75">
      <c r="A26" s="16"/>
      <c r="B26" s="9"/>
      <c r="C26" s="67"/>
      <c r="D26" s="70"/>
      <c r="E26" s="582"/>
      <c r="F26" s="10"/>
      <c r="G26" s="58"/>
      <c r="H26" s="70"/>
      <c r="I26" s="50"/>
      <c r="J26" s="58"/>
      <c r="K26" s="83"/>
    </row>
    <row r="27" spans="1:11" ht="12.75">
      <c r="A27" s="165" t="s">
        <v>21</v>
      </c>
      <c r="B27" s="166" t="s">
        <v>28</v>
      </c>
      <c r="C27" s="167" t="s">
        <v>23</v>
      </c>
      <c r="D27" s="168">
        <v>29900</v>
      </c>
      <c r="E27" s="173" t="s">
        <v>105</v>
      </c>
      <c r="F27" s="169">
        <v>0</v>
      </c>
      <c r="G27" s="170">
        <f>D27+F27</f>
        <v>29900</v>
      </c>
      <c r="H27" s="168">
        <v>29900</v>
      </c>
      <c r="I27" s="171">
        <v>0</v>
      </c>
      <c r="J27" s="170">
        <f>I27+H27</f>
        <v>29900</v>
      </c>
      <c r="K27" s="172">
        <f>J27/G27</f>
        <v>1</v>
      </c>
    </row>
    <row r="28" spans="1:11" ht="12.75">
      <c r="A28" s="16"/>
      <c r="B28" s="9"/>
      <c r="C28" s="67"/>
      <c r="D28" s="70"/>
      <c r="E28" s="582"/>
      <c r="F28" s="10"/>
      <c r="G28" s="58"/>
      <c r="H28" s="70"/>
      <c r="I28" s="50"/>
      <c r="J28" s="58"/>
      <c r="K28" s="83"/>
    </row>
    <row r="29" spans="1:11" ht="12.75">
      <c r="A29" s="175" t="s">
        <v>29</v>
      </c>
      <c r="B29" s="176" t="s">
        <v>30</v>
      </c>
      <c r="C29" s="177" t="s">
        <v>23</v>
      </c>
      <c r="D29" s="178">
        <v>12916.8</v>
      </c>
      <c r="E29" s="179"/>
      <c r="F29" s="180">
        <v>0</v>
      </c>
      <c r="G29" s="181">
        <f>D29+F29</f>
        <v>12916.8</v>
      </c>
      <c r="H29" s="178">
        <v>7750.08</v>
      </c>
      <c r="I29" s="182">
        <v>0</v>
      </c>
      <c r="J29" s="181">
        <f>I29+H29</f>
        <v>7750.08</v>
      </c>
      <c r="K29" s="183">
        <f>J29/G29</f>
        <v>0.6</v>
      </c>
    </row>
    <row r="30" spans="1:11" ht="12.75">
      <c r="A30" s="16"/>
      <c r="B30" s="9"/>
      <c r="C30" s="67"/>
      <c r="D30" s="70"/>
      <c r="E30" s="582"/>
      <c r="F30" s="10"/>
      <c r="G30" s="58"/>
      <c r="H30" s="70"/>
      <c r="I30" s="50"/>
      <c r="J30" s="58"/>
      <c r="K30" s="83"/>
    </row>
    <row r="31" spans="1:11" ht="12.75">
      <c r="A31" s="175" t="s">
        <v>31</v>
      </c>
      <c r="B31" s="176" t="s">
        <v>32</v>
      </c>
      <c r="C31" s="177" t="s">
        <v>10</v>
      </c>
      <c r="D31" s="178">
        <v>13455</v>
      </c>
      <c r="E31" s="179" t="s">
        <v>105</v>
      </c>
      <c r="F31" s="180">
        <v>0</v>
      </c>
      <c r="G31" s="181">
        <f>D31+F31</f>
        <v>13455</v>
      </c>
      <c r="H31" s="178">
        <v>13455</v>
      </c>
      <c r="I31" s="182">
        <v>0</v>
      </c>
      <c r="J31" s="181">
        <f>I31+H31</f>
        <v>13455</v>
      </c>
      <c r="K31" s="183">
        <f>J31/G31</f>
        <v>1</v>
      </c>
    </row>
    <row r="32" spans="1:11" ht="12.75">
      <c r="A32" s="16"/>
      <c r="B32" s="9"/>
      <c r="C32" s="67"/>
      <c r="D32" s="70"/>
      <c r="E32" s="582"/>
      <c r="F32" s="10"/>
      <c r="G32" s="58"/>
      <c r="H32" s="70"/>
      <c r="I32" s="50"/>
      <c r="J32" s="58"/>
      <c r="K32" s="83"/>
    </row>
    <row r="33" spans="1:11" ht="12.75">
      <c r="A33" s="165" t="s">
        <v>33</v>
      </c>
      <c r="B33" s="166" t="s">
        <v>22</v>
      </c>
      <c r="C33" s="167" t="s">
        <v>10</v>
      </c>
      <c r="D33" s="168">
        <v>30000</v>
      </c>
      <c r="E33" s="173"/>
      <c r="F33" s="169">
        <v>0</v>
      </c>
      <c r="G33" s="170">
        <f>D33+F33</f>
        <v>30000</v>
      </c>
      <c r="H33" s="168">
        <v>0</v>
      </c>
      <c r="I33" s="171">
        <v>0</v>
      </c>
      <c r="J33" s="170">
        <f>I33+H33</f>
        <v>0</v>
      </c>
      <c r="K33" s="172">
        <f>J33/G33</f>
        <v>0</v>
      </c>
    </row>
    <row r="34" spans="1:11" ht="12.75">
      <c r="A34" s="16"/>
      <c r="B34" s="9"/>
      <c r="C34" s="67"/>
      <c r="D34" s="70"/>
      <c r="E34" s="582"/>
      <c r="F34" s="10"/>
      <c r="G34" s="58"/>
      <c r="H34" s="70"/>
      <c r="I34" s="50"/>
      <c r="J34" s="58"/>
      <c r="K34" s="83"/>
    </row>
    <row r="35" spans="1:11" ht="12.75">
      <c r="A35" s="165" t="s">
        <v>34</v>
      </c>
      <c r="B35" s="166" t="s">
        <v>386</v>
      </c>
      <c r="C35" s="167" t="s">
        <v>14</v>
      </c>
      <c r="D35" s="168">
        <v>338287.78</v>
      </c>
      <c r="E35" s="173"/>
      <c r="F35" s="169">
        <v>20500</v>
      </c>
      <c r="G35" s="170">
        <f>D35+F35</f>
        <v>358787.78</v>
      </c>
      <c r="H35" s="168">
        <v>331423.88</v>
      </c>
      <c r="I35" s="171">
        <v>8721.03</v>
      </c>
      <c r="J35" s="170">
        <f>I35+H35</f>
        <v>340144.91000000003</v>
      </c>
      <c r="K35" s="172">
        <f>J35/G35</f>
        <v>0.9480392838351407</v>
      </c>
    </row>
    <row r="36" spans="1:11" ht="12.75">
      <c r="A36" s="16"/>
      <c r="B36" s="9"/>
      <c r="C36" s="67"/>
      <c r="D36" s="70"/>
      <c r="E36" s="582"/>
      <c r="F36" s="10"/>
      <c r="G36" s="58"/>
      <c r="H36" s="70"/>
      <c r="I36" s="50"/>
      <c r="J36" s="58"/>
      <c r="K36" s="83"/>
    </row>
    <row r="37" spans="1:11" ht="12.75">
      <c r="A37" s="165" t="s">
        <v>55</v>
      </c>
      <c r="B37" s="166" t="s">
        <v>387</v>
      </c>
      <c r="C37" s="167" t="s">
        <v>14</v>
      </c>
      <c r="D37" s="168">
        <v>152421.23</v>
      </c>
      <c r="E37" s="173"/>
      <c r="F37" s="169">
        <v>9200</v>
      </c>
      <c r="G37" s="170">
        <f>D37+F37</f>
        <v>161621.23</v>
      </c>
      <c r="H37" s="168">
        <v>126548.63</v>
      </c>
      <c r="I37" s="171">
        <v>3349.37</v>
      </c>
      <c r="J37" s="170">
        <f>I37+H37</f>
        <v>129898</v>
      </c>
      <c r="K37" s="172">
        <f>J37/G37</f>
        <v>0.8037186698801884</v>
      </c>
    </row>
    <row r="38" spans="1:11" ht="12.75">
      <c r="A38" s="16"/>
      <c r="B38" s="9"/>
      <c r="C38" s="67"/>
      <c r="D38" s="70"/>
      <c r="E38" s="582"/>
      <c r="F38" s="10"/>
      <c r="G38" s="58"/>
      <c r="H38" s="70"/>
      <c r="I38" s="50"/>
      <c r="J38" s="58"/>
      <c r="K38" s="83"/>
    </row>
    <row r="39" spans="1:11" ht="12.75">
      <c r="A39" s="165" t="s">
        <v>21</v>
      </c>
      <c r="B39" s="166" t="s">
        <v>72</v>
      </c>
      <c r="C39" s="167" t="s">
        <v>10</v>
      </c>
      <c r="D39" s="168">
        <v>19834.46</v>
      </c>
      <c r="E39" s="173" t="s">
        <v>105</v>
      </c>
      <c r="F39" s="169">
        <v>0</v>
      </c>
      <c r="G39" s="170">
        <f>D39+F39</f>
        <v>19834.46</v>
      </c>
      <c r="H39" s="168">
        <v>19834.46</v>
      </c>
      <c r="I39" s="171">
        <v>0</v>
      </c>
      <c r="J39" s="170">
        <f>I39+H39</f>
        <v>19834.46</v>
      </c>
      <c r="K39" s="172">
        <f>J39/G39</f>
        <v>1</v>
      </c>
    </row>
    <row r="40" spans="1:11" ht="12.75">
      <c r="A40" s="16"/>
      <c r="B40" s="9"/>
      <c r="C40" s="67"/>
      <c r="D40" s="70"/>
      <c r="E40" s="582"/>
      <c r="F40" s="10"/>
      <c r="G40" s="58"/>
      <c r="H40" s="70"/>
      <c r="I40" s="50"/>
      <c r="J40" s="58"/>
      <c r="K40" s="82"/>
    </row>
    <row r="41" spans="1:11" ht="12.75">
      <c r="A41" s="165" t="s">
        <v>70</v>
      </c>
      <c r="B41" s="166" t="s">
        <v>71</v>
      </c>
      <c r="C41" s="167" t="s">
        <v>10</v>
      </c>
      <c r="D41" s="168">
        <v>17791.7</v>
      </c>
      <c r="E41" s="173" t="s">
        <v>105</v>
      </c>
      <c r="F41" s="169">
        <v>0</v>
      </c>
      <c r="G41" s="170">
        <f>D41+F41</f>
        <v>17791.7</v>
      </c>
      <c r="H41" s="168">
        <v>17791.7</v>
      </c>
      <c r="I41" s="171">
        <v>0</v>
      </c>
      <c r="J41" s="170">
        <f>I41+H41</f>
        <v>17791.7</v>
      </c>
      <c r="K41" s="172">
        <f>J41/G41</f>
        <v>1</v>
      </c>
    </row>
    <row r="42" spans="1:11" ht="12.75">
      <c r="A42" s="16"/>
      <c r="B42" s="9"/>
      <c r="C42" s="67"/>
      <c r="D42" s="70"/>
      <c r="E42" s="582"/>
      <c r="F42" s="10"/>
      <c r="G42" s="58"/>
      <c r="H42" s="70"/>
      <c r="I42" s="50"/>
      <c r="J42" s="58"/>
      <c r="K42" s="82"/>
    </row>
    <row r="43" spans="1:11" ht="12.75">
      <c r="A43" s="165" t="s">
        <v>78</v>
      </c>
      <c r="B43" s="166" t="s">
        <v>22</v>
      </c>
      <c r="C43" s="167" t="s">
        <v>10</v>
      </c>
      <c r="D43" s="168">
        <v>31096</v>
      </c>
      <c r="E43" s="173"/>
      <c r="F43" s="169">
        <v>0</v>
      </c>
      <c r="G43" s="170">
        <f>D43+F43</f>
        <v>31096</v>
      </c>
      <c r="H43" s="168">
        <v>15548</v>
      </c>
      <c r="I43" s="171">
        <v>0</v>
      </c>
      <c r="J43" s="170">
        <f>I43+H43</f>
        <v>15548</v>
      </c>
      <c r="K43" s="172">
        <f>J43/G43</f>
        <v>0.5</v>
      </c>
    </row>
    <row r="44" spans="1:11" ht="12.75">
      <c r="A44" s="16"/>
      <c r="B44" s="9"/>
      <c r="C44" s="67"/>
      <c r="D44" s="70"/>
      <c r="E44" s="582"/>
      <c r="F44" s="10"/>
      <c r="G44" s="58"/>
      <c r="H44" s="70"/>
      <c r="I44" s="50"/>
      <c r="J44" s="58"/>
      <c r="K44" s="82"/>
    </row>
    <row r="45" spans="1:11" ht="12.75">
      <c r="A45" s="184" t="s">
        <v>83</v>
      </c>
      <c r="B45" s="176" t="s">
        <v>86</v>
      </c>
      <c r="C45" s="177" t="s">
        <v>10</v>
      </c>
      <c r="D45" s="178">
        <v>59800</v>
      </c>
      <c r="E45" s="179"/>
      <c r="F45" s="180">
        <v>0</v>
      </c>
      <c r="G45" s="181">
        <f>D45+F45</f>
        <v>59800</v>
      </c>
      <c r="H45" s="178">
        <v>25628.57</v>
      </c>
      <c r="I45" s="182">
        <v>0</v>
      </c>
      <c r="J45" s="181">
        <f aca="true" t="shared" si="0" ref="J45:J89">I45+H45</f>
        <v>25628.57</v>
      </c>
      <c r="K45" s="183">
        <f>J45/G45</f>
        <v>0.4285714046822742</v>
      </c>
    </row>
    <row r="46" spans="1:11" ht="12.75">
      <c r="A46" s="16"/>
      <c r="B46" s="9"/>
      <c r="C46" s="67"/>
      <c r="D46" s="70"/>
      <c r="E46" s="582"/>
      <c r="F46" s="10"/>
      <c r="G46" s="58"/>
      <c r="H46" s="70"/>
      <c r="I46" s="50"/>
      <c r="J46" s="58"/>
      <c r="K46" s="82"/>
    </row>
    <row r="47" spans="1:11" ht="12.75">
      <c r="A47" s="165" t="s">
        <v>112</v>
      </c>
      <c r="B47" s="166" t="s">
        <v>85</v>
      </c>
      <c r="C47" s="167" t="s">
        <v>14</v>
      </c>
      <c r="D47" s="168">
        <v>80730</v>
      </c>
      <c r="E47" s="173"/>
      <c r="F47" s="169">
        <v>4000</v>
      </c>
      <c r="G47" s="170">
        <f>D47+F47</f>
        <v>84730</v>
      </c>
      <c r="H47" s="168">
        <v>55614</v>
      </c>
      <c r="I47" s="171">
        <v>1241.44</v>
      </c>
      <c r="J47" s="170">
        <f t="shared" si="0"/>
        <v>56855.44</v>
      </c>
      <c r="K47" s="172">
        <f>J47/G47</f>
        <v>0.6710190015342854</v>
      </c>
    </row>
    <row r="48" spans="1:11" ht="12.75">
      <c r="A48" s="16"/>
      <c r="B48" s="9"/>
      <c r="C48" s="67"/>
      <c r="D48" s="70"/>
      <c r="E48" s="582"/>
      <c r="F48" s="10"/>
      <c r="G48" s="58"/>
      <c r="H48" s="70"/>
      <c r="I48" s="50"/>
      <c r="J48" s="58"/>
      <c r="K48" s="82"/>
    </row>
    <row r="49" spans="1:11" ht="12.75">
      <c r="A49" s="165" t="s">
        <v>91</v>
      </c>
      <c r="B49" s="166" t="s">
        <v>92</v>
      </c>
      <c r="C49" s="167" t="s">
        <v>10</v>
      </c>
      <c r="D49" s="168">
        <v>14184.56</v>
      </c>
      <c r="E49" s="173" t="s">
        <v>105</v>
      </c>
      <c r="F49" s="169">
        <v>0</v>
      </c>
      <c r="G49" s="170">
        <f>D49+F49</f>
        <v>14184.56</v>
      </c>
      <c r="H49" s="168">
        <v>14184.56</v>
      </c>
      <c r="I49" s="171">
        <v>0</v>
      </c>
      <c r="J49" s="170">
        <f t="shared" si="0"/>
        <v>14184.56</v>
      </c>
      <c r="K49" s="172">
        <f>J49/G49</f>
        <v>1</v>
      </c>
    </row>
    <row r="50" spans="1:11" ht="12.75">
      <c r="A50" s="16"/>
      <c r="B50" s="9"/>
      <c r="C50" s="67"/>
      <c r="D50" s="70"/>
      <c r="E50" s="582"/>
      <c r="F50" s="10"/>
      <c r="G50" s="58"/>
      <c r="H50" s="70"/>
      <c r="I50" s="50"/>
      <c r="J50" s="58"/>
      <c r="K50" s="82"/>
    </row>
    <row r="51" spans="1:11" ht="12.75">
      <c r="A51" s="195" t="s">
        <v>8</v>
      </c>
      <c r="B51" s="190" t="s">
        <v>9</v>
      </c>
      <c r="C51" s="191" t="s">
        <v>10</v>
      </c>
      <c r="D51" s="192">
        <v>7465.5</v>
      </c>
      <c r="E51" s="179" t="s">
        <v>105</v>
      </c>
      <c r="F51" s="180">
        <v>0</v>
      </c>
      <c r="G51" s="181">
        <f>D51</f>
        <v>7465.5</v>
      </c>
      <c r="H51" s="178">
        <v>7465.5</v>
      </c>
      <c r="I51" s="182">
        <v>0</v>
      </c>
      <c r="J51" s="181">
        <f t="shared" si="0"/>
        <v>7465.5</v>
      </c>
      <c r="K51" s="183">
        <f>J51/G51</f>
        <v>1</v>
      </c>
    </row>
    <row r="52" spans="1:11" ht="12.75">
      <c r="A52" s="16"/>
      <c r="B52" s="9"/>
      <c r="C52" s="67"/>
      <c r="D52" s="70"/>
      <c r="E52" s="582"/>
      <c r="F52" s="10"/>
      <c r="G52" s="58"/>
      <c r="H52" s="70"/>
      <c r="I52" s="50"/>
      <c r="J52" s="58"/>
      <c r="K52" s="82"/>
    </row>
    <row r="53" spans="1:11" ht="12.75">
      <c r="A53" s="197" t="s">
        <v>79</v>
      </c>
      <c r="B53" s="198" t="s">
        <v>80</v>
      </c>
      <c r="C53" s="199" t="s">
        <v>10</v>
      </c>
      <c r="D53" s="200">
        <v>201137.3</v>
      </c>
      <c r="E53" s="201" t="s">
        <v>105</v>
      </c>
      <c r="F53" s="202">
        <v>0</v>
      </c>
      <c r="G53" s="203">
        <f>D53+F53</f>
        <v>201137.3</v>
      </c>
      <c r="H53" s="200">
        <v>201137.3</v>
      </c>
      <c r="I53" s="204">
        <v>0</v>
      </c>
      <c r="J53" s="203">
        <f t="shared" si="0"/>
        <v>201137.3</v>
      </c>
      <c r="K53" s="205">
        <f>J53/G53</f>
        <v>1</v>
      </c>
    </row>
    <row r="54" spans="1:11" ht="12.75">
      <c r="A54" s="16"/>
      <c r="B54" s="9"/>
      <c r="C54" s="67"/>
      <c r="D54" s="70"/>
      <c r="E54" s="582"/>
      <c r="F54" s="10"/>
      <c r="G54" s="58"/>
      <c r="H54" s="70"/>
      <c r="I54" s="50"/>
      <c r="J54" s="58"/>
      <c r="K54" s="82"/>
    </row>
    <row r="55" spans="1:11" ht="12.75">
      <c r="A55" s="184" t="s">
        <v>31</v>
      </c>
      <c r="B55" s="176" t="s">
        <v>36</v>
      </c>
      <c r="C55" s="177" t="s">
        <v>10</v>
      </c>
      <c r="D55" s="178">
        <v>16265.6</v>
      </c>
      <c r="E55" s="179" t="s">
        <v>105</v>
      </c>
      <c r="F55" s="180">
        <v>0</v>
      </c>
      <c r="G55" s="181">
        <f>D55+F55</f>
        <v>16265.6</v>
      </c>
      <c r="H55" s="178">
        <v>16265.6</v>
      </c>
      <c r="I55" s="182">
        <v>0</v>
      </c>
      <c r="J55" s="181">
        <f t="shared" si="0"/>
        <v>16265.6</v>
      </c>
      <c r="K55" s="183">
        <f>J55/G55</f>
        <v>1</v>
      </c>
    </row>
    <row r="56" spans="1:11" ht="12.75">
      <c r="A56" s="16"/>
      <c r="B56" s="9"/>
      <c r="C56" s="67"/>
      <c r="D56" s="70"/>
      <c r="E56" s="582"/>
      <c r="F56" s="10"/>
      <c r="G56" s="58"/>
      <c r="H56" s="70"/>
      <c r="I56" s="50"/>
      <c r="J56" s="58"/>
      <c r="K56" s="82"/>
    </row>
    <row r="57" spans="1:11" ht="12.75">
      <c r="A57" s="175" t="s">
        <v>31</v>
      </c>
      <c r="B57" s="176" t="s">
        <v>98</v>
      </c>
      <c r="C57" s="177" t="s">
        <v>10</v>
      </c>
      <c r="D57" s="178">
        <v>9526.14</v>
      </c>
      <c r="E57" s="179" t="s">
        <v>105</v>
      </c>
      <c r="F57" s="180">
        <v>0</v>
      </c>
      <c r="G57" s="181">
        <f>D57+F57</f>
        <v>9526.14</v>
      </c>
      <c r="H57" s="178">
        <v>9526.14</v>
      </c>
      <c r="I57" s="182">
        <v>0</v>
      </c>
      <c r="J57" s="181">
        <f t="shared" si="0"/>
        <v>9526.14</v>
      </c>
      <c r="K57" s="183">
        <f>J57/G57</f>
        <v>1</v>
      </c>
    </row>
    <row r="58" spans="1:11" ht="12.75">
      <c r="A58" s="16"/>
      <c r="B58" s="9"/>
      <c r="C58" s="67"/>
      <c r="D58" s="70"/>
      <c r="E58" s="582"/>
      <c r="F58" s="10"/>
      <c r="G58" s="58"/>
      <c r="H58" s="70"/>
      <c r="I58" s="50"/>
      <c r="J58" s="58"/>
      <c r="K58" s="82"/>
    </row>
    <row r="59" spans="1:11" ht="12.75">
      <c r="A59" s="156" t="s">
        <v>103</v>
      </c>
      <c r="B59" s="157" t="s">
        <v>388</v>
      </c>
      <c r="C59" s="158" t="s">
        <v>100</v>
      </c>
      <c r="D59" s="159">
        <v>384555.53</v>
      </c>
      <c r="E59" s="581"/>
      <c r="F59" s="160">
        <v>20000</v>
      </c>
      <c r="G59" s="152">
        <f>D59+F59</f>
        <v>404555.53</v>
      </c>
      <c r="H59" s="159">
        <v>372701.6</v>
      </c>
      <c r="I59" s="161">
        <v>11929.25</v>
      </c>
      <c r="J59" s="152">
        <f t="shared" si="0"/>
        <v>384630.85</v>
      </c>
      <c r="K59" s="162">
        <f>J59/G59</f>
        <v>0.9507492086438664</v>
      </c>
    </row>
    <row r="60" spans="1:11" ht="12.75">
      <c r="A60" s="16"/>
      <c r="B60" s="9"/>
      <c r="C60" s="67"/>
      <c r="D60" s="70"/>
      <c r="E60" s="582"/>
      <c r="F60" s="10"/>
      <c r="G60" s="58"/>
      <c r="H60" s="70"/>
      <c r="I60" s="50"/>
      <c r="J60" s="58"/>
      <c r="K60" s="82"/>
    </row>
    <row r="61" spans="1:11" ht="12.75">
      <c r="A61" s="165" t="s">
        <v>78</v>
      </c>
      <c r="B61" s="166" t="s">
        <v>115</v>
      </c>
      <c r="C61" s="167" t="s">
        <v>10</v>
      </c>
      <c r="D61" s="168">
        <v>16265.6</v>
      </c>
      <c r="E61" s="173"/>
      <c r="F61" s="169">
        <v>0</v>
      </c>
      <c r="G61" s="170">
        <f>D61+F61</f>
        <v>16265.6</v>
      </c>
      <c r="H61" s="168">
        <v>0</v>
      </c>
      <c r="I61" s="171">
        <v>0</v>
      </c>
      <c r="J61" s="170">
        <f t="shared" si="0"/>
        <v>0</v>
      </c>
      <c r="K61" s="172">
        <f>J61/G61</f>
        <v>0</v>
      </c>
    </row>
    <row r="62" spans="1:11" ht="12.75">
      <c r="A62" s="16"/>
      <c r="B62" s="9"/>
      <c r="C62" s="67"/>
      <c r="D62" s="70"/>
      <c r="E62" s="582"/>
      <c r="F62" s="10"/>
      <c r="G62" s="58"/>
      <c r="H62" s="70"/>
      <c r="I62" s="50"/>
      <c r="J62" s="58"/>
      <c r="K62" s="82"/>
    </row>
    <row r="63" spans="1:11" s="222" customFormat="1" ht="12.75">
      <c r="A63" s="197" t="s">
        <v>37</v>
      </c>
      <c r="B63" s="206" t="s">
        <v>38</v>
      </c>
      <c r="C63" s="207" t="s">
        <v>39</v>
      </c>
      <c r="D63" s="208">
        <v>7005477.92</v>
      </c>
      <c r="E63" s="201" t="s">
        <v>105</v>
      </c>
      <c r="F63" s="209">
        <v>109648.35</v>
      </c>
      <c r="G63" s="203">
        <f>D63+F63</f>
        <v>7115126.27</v>
      </c>
      <c r="H63" s="208">
        <v>7005477.92</v>
      </c>
      <c r="I63" s="210">
        <v>109648.35</v>
      </c>
      <c r="J63" s="203">
        <f t="shared" si="0"/>
        <v>7115126.27</v>
      </c>
      <c r="K63" s="205">
        <f>J63/G63</f>
        <v>1</v>
      </c>
    </row>
    <row r="64" spans="1:11" ht="12.75">
      <c r="A64" s="13"/>
      <c r="B64" s="9"/>
      <c r="C64" s="67"/>
      <c r="D64" s="70"/>
      <c r="E64" s="582"/>
      <c r="F64" s="10"/>
      <c r="G64" s="58"/>
      <c r="H64" s="70"/>
      <c r="I64" s="50"/>
      <c r="J64" s="58"/>
      <c r="K64" s="82"/>
    </row>
    <row r="65" spans="1:11" ht="12.75">
      <c r="A65" s="197" t="s">
        <v>37</v>
      </c>
      <c r="B65" s="198" t="s">
        <v>74</v>
      </c>
      <c r="C65" s="199" t="s">
        <v>14</v>
      </c>
      <c r="D65" s="200">
        <v>1424830.48</v>
      </c>
      <c r="E65" s="201" t="s">
        <v>105</v>
      </c>
      <c r="F65" s="202">
        <v>3139.55</v>
      </c>
      <c r="G65" s="203">
        <f>D65+F65</f>
        <v>1427970.03</v>
      </c>
      <c r="H65" s="200">
        <v>1424830.48</v>
      </c>
      <c r="I65" s="204">
        <v>3139.55</v>
      </c>
      <c r="J65" s="203">
        <f t="shared" si="0"/>
        <v>1427970.03</v>
      </c>
      <c r="K65" s="205">
        <f>J65/G65</f>
        <v>1</v>
      </c>
    </row>
    <row r="66" spans="1:11" ht="12.75">
      <c r="A66" s="13"/>
      <c r="B66" s="9"/>
      <c r="C66" s="67"/>
      <c r="D66" s="70"/>
      <c r="E66" s="582"/>
      <c r="F66" s="10"/>
      <c r="G66" s="58"/>
      <c r="H66" s="70"/>
      <c r="I66" s="50"/>
      <c r="J66" s="58"/>
      <c r="K66" s="82"/>
    </row>
    <row r="67" spans="1:11" ht="14.25" customHeight="1">
      <c r="A67" s="197" t="s">
        <v>65</v>
      </c>
      <c r="B67" s="198" t="s">
        <v>389</v>
      </c>
      <c r="C67" s="199" t="s">
        <v>14</v>
      </c>
      <c r="D67" s="200">
        <v>47127013.09</v>
      </c>
      <c r="E67" s="201"/>
      <c r="F67" s="202">
        <v>2490000</v>
      </c>
      <c r="G67" s="203">
        <f>D67+F67</f>
        <v>49617013.09</v>
      </c>
      <c r="H67" s="200">
        <v>44968704.87</v>
      </c>
      <c r="I67" s="204">
        <v>2435740.96</v>
      </c>
      <c r="J67" s="203">
        <f t="shared" si="0"/>
        <v>47404445.83</v>
      </c>
      <c r="K67" s="205">
        <f>J67/G67</f>
        <v>0.9554070847435607</v>
      </c>
    </row>
    <row r="68" spans="1:11" ht="12.75">
      <c r="A68" s="13"/>
      <c r="B68" s="9"/>
      <c r="C68" s="67"/>
      <c r="D68" s="70"/>
      <c r="E68" s="582"/>
      <c r="F68" s="10"/>
      <c r="G68" s="58"/>
      <c r="H68" s="70"/>
      <c r="I68" s="50"/>
      <c r="J68" s="58"/>
      <c r="K68" s="82"/>
    </row>
    <row r="69" spans="1:11" ht="12.75">
      <c r="A69" s="197" t="s">
        <v>66</v>
      </c>
      <c r="B69" s="198" t="s">
        <v>391</v>
      </c>
      <c r="C69" s="199" t="s">
        <v>14</v>
      </c>
      <c r="D69" s="200">
        <v>3898269.19</v>
      </c>
      <c r="E69" s="201"/>
      <c r="F69" s="202">
        <v>190000</v>
      </c>
      <c r="G69" s="203">
        <f>D69+F69</f>
        <v>4088269.19</v>
      </c>
      <c r="H69" s="200">
        <v>3705566.86</v>
      </c>
      <c r="I69" s="204">
        <v>159279.64</v>
      </c>
      <c r="J69" s="203">
        <f t="shared" si="0"/>
        <v>3864846.5</v>
      </c>
      <c r="K69" s="205">
        <f>J69/G69</f>
        <v>0.945350298716509</v>
      </c>
    </row>
    <row r="70" spans="1:11" ht="12.75">
      <c r="A70" s="13"/>
      <c r="B70" s="9"/>
      <c r="C70" s="67"/>
      <c r="D70" s="70"/>
      <c r="E70" s="582"/>
      <c r="F70" s="10"/>
      <c r="G70" s="58"/>
      <c r="H70" s="70"/>
      <c r="I70" s="50"/>
      <c r="J70" s="58"/>
      <c r="K70" s="82"/>
    </row>
    <row r="71" spans="1:11" ht="12.75">
      <c r="A71" s="197" t="s">
        <v>67</v>
      </c>
      <c r="B71" s="198" t="s">
        <v>390</v>
      </c>
      <c r="C71" s="199" t="s">
        <v>14</v>
      </c>
      <c r="D71" s="200">
        <v>3704770.91</v>
      </c>
      <c r="E71" s="201"/>
      <c r="F71" s="202">
        <v>420000</v>
      </c>
      <c r="G71" s="203">
        <f>D71+F71</f>
        <v>4124770.91</v>
      </c>
      <c r="H71" s="200">
        <v>3333637.07</v>
      </c>
      <c r="I71" s="204">
        <v>356807.5</v>
      </c>
      <c r="J71" s="203">
        <f t="shared" si="0"/>
        <v>3690444.57</v>
      </c>
      <c r="K71" s="205">
        <f>J71/G71</f>
        <v>0.8947029181797638</v>
      </c>
    </row>
    <row r="72" spans="1:11" ht="12.75">
      <c r="A72" s="54"/>
      <c r="B72" s="40"/>
      <c r="C72" s="770"/>
      <c r="D72" s="71"/>
      <c r="E72" s="638"/>
      <c r="F72" s="41"/>
      <c r="G72" s="72"/>
      <c r="H72" s="71"/>
      <c r="I72" s="51"/>
      <c r="J72" s="58"/>
      <c r="K72" s="82"/>
    </row>
    <row r="73" spans="1:11" ht="12.75">
      <c r="A73" s="197" t="s">
        <v>73</v>
      </c>
      <c r="B73" s="198" t="s">
        <v>399</v>
      </c>
      <c r="C73" s="199" t="s">
        <v>14</v>
      </c>
      <c r="D73" s="200">
        <v>3303159.75</v>
      </c>
      <c r="E73" s="201"/>
      <c r="F73" s="202">
        <v>103000</v>
      </c>
      <c r="G73" s="203">
        <f>D73+F73</f>
        <v>3406159.75</v>
      </c>
      <c r="H73" s="200">
        <v>2278257.66</v>
      </c>
      <c r="I73" s="204">
        <v>80300.08</v>
      </c>
      <c r="J73" s="203">
        <f t="shared" si="0"/>
        <v>2358557.74</v>
      </c>
      <c r="K73" s="205">
        <f>J73/G73</f>
        <v>0.6924389673737411</v>
      </c>
    </row>
    <row r="74" spans="1:11" ht="12.75">
      <c r="A74" s="54"/>
      <c r="B74" s="40"/>
      <c r="C74" s="770"/>
      <c r="D74" s="71"/>
      <c r="E74" s="638"/>
      <c r="F74" s="41"/>
      <c r="G74" s="72"/>
      <c r="H74" s="71"/>
      <c r="I74" s="51"/>
      <c r="J74" s="58"/>
      <c r="K74" s="82"/>
    </row>
    <row r="75" spans="1:11" ht="13.5" customHeight="1">
      <c r="A75" s="197" t="s">
        <v>76</v>
      </c>
      <c r="B75" s="198" t="s">
        <v>75</v>
      </c>
      <c r="C75" s="199" t="s">
        <v>14</v>
      </c>
      <c r="D75" s="200">
        <v>1581529.4</v>
      </c>
      <c r="E75" s="201"/>
      <c r="F75" s="202">
        <v>70000</v>
      </c>
      <c r="G75" s="203">
        <f>D75+F75</f>
        <v>1651529.4</v>
      </c>
      <c r="H75" s="200">
        <v>1335294.92</v>
      </c>
      <c r="I75" s="211">
        <v>60037.76</v>
      </c>
      <c r="J75" s="203">
        <f t="shared" si="0"/>
        <v>1395332.68</v>
      </c>
      <c r="K75" s="205">
        <f>J75/G75</f>
        <v>0.8448730491870142</v>
      </c>
    </row>
    <row r="76" spans="1:11" ht="12.75">
      <c r="A76" s="54"/>
      <c r="B76" s="40"/>
      <c r="C76" s="770"/>
      <c r="D76" s="71"/>
      <c r="E76" s="638"/>
      <c r="F76" s="41"/>
      <c r="G76" s="72"/>
      <c r="H76" s="71"/>
      <c r="I76" s="51"/>
      <c r="J76" s="58"/>
      <c r="K76" s="82"/>
    </row>
    <row r="77" spans="1:11" ht="12.75">
      <c r="A77" s="197" t="s">
        <v>77</v>
      </c>
      <c r="B77" s="198" t="s">
        <v>392</v>
      </c>
      <c r="C77" s="199" t="s">
        <v>14</v>
      </c>
      <c r="D77" s="200">
        <v>1682804.29</v>
      </c>
      <c r="E77" s="201"/>
      <c r="F77" s="202">
        <v>140000</v>
      </c>
      <c r="G77" s="203">
        <f>D77+F77</f>
        <v>1822804.29</v>
      </c>
      <c r="H77" s="200">
        <v>1267401.2</v>
      </c>
      <c r="I77" s="204">
        <v>100080.55</v>
      </c>
      <c r="J77" s="203">
        <f t="shared" si="0"/>
        <v>1367481.75</v>
      </c>
      <c r="K77" s="205">
        <f>J77/G77</f>
        <v>0.7502076649161277</v>
      </c>
    </row>
    <row r="78" spans="1:11" ht="12.75">
      <c r="A78" s="54"/>
      <c r="B78" s="40"/>
      <c r="C78" s="770"/>
      <c r="D78" s="71"/>
      <c r="E78" s="638"/>
      <c r="F78" s="41"/>
      <c r="G78" s="72"/>
      <c r="H78" s="71"/>
      <c r="I78" s="51"/>
      <c r="J78" s="58"/>
      <c r="K78" s="82"/>
    </row>
    <row r="79" spans="1:11" ht="12.75">
      <c r="A79" s="212" t="s">
        <v>165</v>
      </c>
      <c r="B79" s="213" t="s">
        <v>81</v>
      </c>
      <c r="C79" s="199" t="s">
        <v>82</v>
      </c>
      <c r="D79" s="214">
        <v>79654.8</v>
      </c>
      <c r="E79" s="585"/>
      <c r="F79" s="215">
        <v>0</v>
      </c>
      <c r="G79" s="203">
        <f>D79+F79</f>
        <v>79654.8</v>
      </c>
      <c r="H79" s="214">
        <v>64154.64</v>
      </c>
      <c r="I79" s="216">
        <v>0</v>
      </c>
      <c r="J79" s="203">
        <f t="shared" si="0"/>
        <v>64154.64</v>
      </c>
      <c r="K79" s="205">
        <f>J79/G79</f>
        <v>0.8054083369740429</v>
      </c>
    </row>
    <row r="80" spans="1:11" ht="12.75">
      <c r="A80" s="611"/>
      <c r="B80" s="42"/>
      <c r="C80" s="67"/>
      <c r="D80" s="73"/>
      <c r="E80" s="584"/>
      <c r="F80" s="43"/>
      <c r="G80" s="58"/>
      <c r="H80" s="73"/>
      <c r="I80" s="52"/>
      <c r="J80" s="58"/>
      <c r="K80" s="82"/>
    </row>
    <row r="81" spans="1:11" ht="12.75">
      <c r="A81" s="602" t="s">
        <v>107</v>
      </c>
      <c r="B81" s="185" t="s">
        <v>108</v>
      </c>
      <c r="C81" s="177"/>
      <c r="D81" s="186">
        <v>40000</v>
      </c>
      <c r="E81" s="604" t="s">
        <v>105</v>
      </c>
      <c r="F81" s="187">
        <v>0</v>
      </c>
      <c r="G81" s="181">
        <f>D81+F81</f>
        <v>40000</v>
      </c>
      <c r="H81" s="186">
        <v>40000</v>
      </c>
      <c r="I81" s="188">
        <v>0</v>
      </c>
      <c r="J81" s="181">
        <f t="shared" si="0"/>
        <v>40000</v>
      </c>
      <c r="K81" s="183">
        <f>J81/G81</f>
        <v>1</v>
      </c>
    </row>
    <row r="82" spans="1:11" ht="12.75">
      <c r="A82" s="611"/>
      <c r="B82" s="42"/>
      <c r="C82" s="67"/>
      <c r="D82" s="73"/>
      <c r="E82" s="584"/>
      <c r="F82" s="43"/>
      <c r="G82" s="58"/>
      <c r="H82" s="73"/>
      <c r="I82" s="52"/>
      <c r="J82" s="58"/>
      <c r="K82" s="82"/>
    </row>
    <row r="83" spans="1:11" ht="12.75">
      <c r="A83" s="184" t="s">
        <v>166</v>
      </c>
      <c r="B83" s="176" t="s">
        <v>328</v>
      </c>
      <c r="C83" s="177"/>
      <c r="D83" s="178">
        <v>377136.6</v>
      </c>
      <c r="E83" s="179"/>
      <c r="F83" s="180">
        <v>0</v>
      </c>
      <c r="G83" s="181">
        <f>D83+F83</f>
        <v>377136.6</v>
      </c>
      <c r="H83" s="178">
        <v>342164.52</v>
      </c>
      <c r="I83" s="182">
        <v>0</v>
      </c>
      <c r="J83" s="181">
        <f t="shared" si="0"/>
        <v>342164.52</v>
      </c>
      <c r="K83" s="183">
        <f>J83/G83</f>
        <v>0.9072694615160661</v>
      </c>
    </row>
    <row r="84" spans="1:11" ht="12.75">
      <c r="A84" s="608"/>
      <c r="B84" s="40"/>
      <c r="C84" s="770"/>
      <c r="D84" s="71"/>
      <c r="E84" s="638"/>
      <c r="F84" s="41"/>
      <c r="G84" s="74"/>
      <c r="H84" s="71"/>
      <c r="I84" s="51"/>
      <c r="J84" s="58"/>
      <c r="K84" s="82"/>
    </row>
    <row r="85" spans="1:11" ht="12.75">
      <c r="A85" s="175" t="s">
        <v>109</v>
      </c>
      <c r="B85" s="176" t="s">
        <v>110</v>
      </c>
      <c r="C85" s="177" t="s">
        <v>14</v>
      </c>
      <c r="D85" s="178">
        <v>135137.22</v>
      </c>
      <c r="E85" s="179" t="s">
        <v>105</v>
      </c>
      <c r="F85" s="180">
        <v>0</v>
      </c>
      <c r="G85" s="181">
        <f>D85+F85</f>
        <v>135137.22</v>
      </c>
      <c r="H85" s="178">
        <v>135137.22</v>
      </c>
      <c r="I85" s="182">
        <v>0</v>
      </c>
      <c r="J85" s="181">
        <f t="shared" si="0"/>
        <v>135137.22</v>
      </c>
      <c r="K85" s="183">
        <f>J85/G85</f>
        <v>1</v>
      </c>
    </row>
    <row r="86" spans="1:11" ht="12.75">
      <c r="A86" s="608"/>
      <c r="B86" s="40"/>
      <c r="C86" s="770"/>
      <c r="D86" s="71"/>
      <c r="E86" s="638"/>
      <c r="F86" s="41"/>
      <c r="G86" s="74"/>
      <c r="H86" s="71"/>
      <c r="I86" s="51"/>
      <c r="J86" s="58"/>
      <c r="K86" s="82"/>
    </row>
    <row r="87" spans="1:11" ht="12.75">
      <c r="A87" s="175" t="s">
        <v>46</v>
      </c>
      <c r="B87" s="176" t="s">
        <v>111</v>
      </c>
      <c r="C87" s="177" t="s">
        <v>14</v>
      </c>
      <c r="D87" s="178">
        <v>27820</v>
      </c>
      <c r="E87" s="179"/>
      <c r="F87" s="180">
        <v>0</v>
      </c>
      <c r="G87" s="181">
        <f>D87+F87</f>
        <v>27820</v>
      </c>
      <c r="H87" s="178">
        <v>0</v>
      </c>
      <c r="I87" s="182">
        <v>0</v>
      </c>
      <c r="J87" s="181">
        <f t="shared" si="0"/>
        <v>0</v>
      </c>
      <c r="K87" s="183">
        <f>J87/G87</f>
        <v>0</v>
      </c>
    </row>
    <row r="88" spans="1:11" ht="12.75">
      <c r="A88" s="608"/>
      <c r="B88" s="40"/>
      <c r="C88" s="770"/>
      <c r="D88" s="71"/>
      <c r="E88" s="638"/>
      <c r="F88" s="41"/>
      <c r="G88" s="74"/>
      <c r="H88" s="71"/>
      <c r="I88" s="51"/>
      <c r="J88" s="58"/>
      <c r="K88" s="82"/>
    </row>
    <row r="89" spans="1:11" ht="12.75">
      <c r="A89" s="165" t="s">
        <v>113</v>
      </c>
      <c r="B89" s="166" t="s">
        <v>114</v>
      </c>
      <c r="C89" s="167" t="s">
        <v>10</v>
      </c>
      <c r="D89" s="168">
        <v>16791.84</v>
      </c>
      <c r="E89" s="173" t="s">
        <v>105</v>
      </c>
      <c r="F89" s="169">
        <v>0</v>
      </c>
      <c r="G89" s="170">
        <f>D89+F89</f>
        <v>16791.84</v>
      </c>
      <c r="H89" s="168">
        <v>16791.84</v>
      </c>
      <c r="I89" s="171">
        <v>0</v>
      </c>
      <c r="J89" s="170">
        <f t="shared" si="0"/>
        <v>16791.84</v>
      </c>
      <c r="K89" s="172">
        <f>J89/G89</f>
        <v>1</v>
      </c>
    </row>
    <row r="90" spans="1:11" ht="12.75">
      <c r="A90" s="608"/>
      <c r="B90" s="40"/>
      <c r="C90" s="770"/>
      <c r="D90" s="71"/>
      <c r="E90" s="638"/>
      <c r="F90" s="41"/>
      <c r="G90" s="74"/>
      <c r="H90" s="71"/>
      <c r="I90" s="51"/>
      <c r="J90" s="109"/>
      <c r="K90" s="609"/>
    </row>
    <row r="91" spans="1:13" ht="12.75">
      <c r="A91" s="175" t="s">
        <v>309</v>
      </c>
      <c r="B91" s="176" t="s">
        <v>310</v>
      </c>
      <c r="C91" s="177"/>
      <c r="D91" s="178">
        <v>730756</v>
      </c>
      <c r="E91" s="179" t="s">
        <v>105</v>
      </c>
      <c r="F91" s="180">
        <v>0</v>
      </c>
      <c r="G91" s="181">
        <f>F91+D91</f>
        <v>730756</v>
      </c>
      <c r="H91" s="178">
        <v>730756</v>
      </c>
      <c r="I91" s="180">
        <v>0</v>
      </c>
      <c r="J91" s="181">
        <f>I91+H91</f>
        <v>730756</v>
      </c>
      <c r="K91" s="183">
        <f>J91/G91</f>
        <v>1</v>
      </c>
      <c r="M91" s="220">
        <v>3469348.35</v>
      </c>
    </row>
    <row r="92" spans="1:13" ht="12.75">
      <c r="A92" s="608"/>
      <c r="B92" s="40"/>
      <c r="C92" s="770"/>
      <c r="D92" s="71"/>
      <c r="E92" s="638"/>
      <c r="F92" s="41"/>
      <c r="G92" s="74"/>
      <c r="H92" s="71"/>
      <c r="I92" s="51"/>
      <c r="J92" s="74"/>
      <c r="K92" s="612"/>
      <c r="M92" s="610">
        <f>M91-F171</f>
        <v>-1601239.5500000003</v>
      </c>
    </row>
    <row r="93" spans="1:11" ht="12.75">
      <c r="A93" s="175" t="s">
        <v>311</v>
      </c>
      <c r="B93" s="176" t="s">
        <v>312</v>
      </c>
      <c r="C93" s="177"/>
      <c r="D93" s="178">
        <v>14357.67</v>
      </c>
      <c r="E93" s="179" t="s">
        <v>105</v>
      </c>
      <c r="F93" s="180">
        <v>0</v>
      </c>
      <c r="G93" s="181">
        <f>F93+D93</f>
        <v>14357.67</v>
      </c>
      <c r="H93" s="178">
        <v>14357.67</v>
      </c>
      <c r="I93" s="180">
        <v>0</v>
      </c>
      <c r="J93" s="181">
        <f>I93+H93</f>
        <v>14357.67</v>
      </c>
      <c r="K93" s="183">
        <f>J93/G93</f>
        <v>1</v>
      </c>
    </row>
    <row r="94" spans="1:11" ht="12.75">
      <c r="A94" s="631"/>
      <c r="B94" s="632"/>
      <c r="C94" s="675"/>
      <c r="D94" s="633"/>
      <c r="E94" s="639"/>
      <c r="F94" s="634"/>
      <c r="G94" s="635"/>
      <c r="H94" s="633"/>
      <c r="I94" s="636"/>
      <c r="J94" s="635"/>
      <c r="K94" s="637"/>
    </row>
    <row r="95" spans="1:11" ht="12.75">
      <c r="A95" s="165" t="s">
        <v>325</v>
      </c>
      <c r="B95" s="166" t="s">
        <v>341</v>
      </c>
      <c r="C95" s="167"/>
      <c r="D95" s="168">
        <v>38110.54</v>
      </c>
      <c r="E95" s="173" t="s">
        <v>105</v>
      </c>
      <c r="F95" s="169">
        <v>0</v>
      </c>
      <c r="G95" s="170">
        <f>F95+D95</f>
        <v>38110.54</v>
      </c>
      <c r="H95" s="168">
        <v>38110.54</v>
      </c>
      <c r="I95" s="169">
        <v>0</v>
      </c>
      <c r="J95" s="169">
        <f>I95+H95</f>
        <v>38110.54</v>
      </c>
      <c r="K95" s="172">
        <f>J95/G95</f>
        <v>1</v>
      </c>
    </row>
    <row r="96" spans="1:11" ht="12.75">
      <c r="A96" s="631"/>
      <c r="B96" s="632"/>
      <c r="C96" s="675"/>
      <c r="D96" s="633"/>
      <c r="E96" s="639"/>
      <c r="F96" s="634"/>
      <c r="G96" s="635"/>
      <c r="H96" s="633"/>
      <c r="I96" s="636"/>
      <c r="J96" s="636"/>
      <c r="K96" s="637"/>
    </row>
    <row r="97" spans="1:11" ht="12.75">
      <c r="A97" s="165" t="s">
        <v>13</v>
      </c>
      <c r="B97" s="166" t="s">
        <v>326</v>
      </c>
      <c r="C97" s="167"/>
      <c r="D97" s="168">
        <v>7152.08</v>
      </c>
      <c r="E97" s="173"/>
      <c r="F97" s="169">
        <v>300</v>
      </c>
      <c r="G97" s="170">
        <f>F97+D97</f>
        <v>7452.08</v>
      </c>
      <c r="H97" s="168">
        <v>6244.33</v>
      </c>
      <c r="I97" s="169">
        <v>93.73</v>
      </c>
      <c r="J97" s="169">
        <f>I97+H97</f>
        <v>6338.0599999999995</v>
      </c>
      <c r="K97" s="172">
        <f>J97/G97</f>
        <v>0.850508851220062</v>
      </c>
    </row>
    <row r="98" spans="1:11" ht="12.75">
      <c r="A98" s="631"/>
      <c r="B98" s="632"/>
      <c r="C98" s="675"/>
      <c r="D98" s="633"/>
      <c r="E98" s="639"/>
      <c r="F98" s="634"/>
      <c r="G98" s="635"/>
      <c r="H98" s="633"/>
      <c r="I98" s="636"/>
      <c r="J98" s="636"/>
      <c r="K98" s="637"/>
    </row>
    <row r="99" spans="1:11" ht="12.75">
      <c r="A99" s="165" t="s">
        <v>15</v>
      </c>
      <c r="B99" s="166" t="s">
        <v>327</v>
      </c>
      <c r="C99" s="167"/>
      <c r="D99" s="168">
        <v>9568</v>
      </c>
      <c r="E99" s="173"/>
      <c r="F99" s="169">
        <v>500</v>
      </c>
      <c r="G99" s="170">
        <f>F99+D99</f>
        <v>10068</v>
      </c>
      <c r="H99" s="168">
        <v>7773.99</v>
      </c>
      <c r="I99" s="169">
        <v>85.52</v>
      </c>
      <c r="J99" s="169">
        <f>I99+H99</f>
        <v>7859.51</v>
      </c>
      <c r="K99" s="172">
        <f>J99/G99</f>
        <v>0.7806426301152165</v>
      </c>
    </row>
    <row r="100" spans="1:11" ht="12.75">
      <c r="A100" s="631"/>
      <c r="B100" s="632"/>
      <c r="C100" s="675"/>
      <c r="D100" s="633"/>
      <c r="E100" s="639"/>
      <c r="F100" s="634"/>
      <c r="G100" s="635"/>
      <c r="H100" s="633"/>
      <c r="I100" s="636"/>
      <c r="J100" s="636"/>
      <c r="K100" s="637"/>
    </row>
    <row r="101" spans="1:11" ht="12.75">
      <c r="A101" s="165" t="s">
        <v>335</v>
      </c>
      <c r="B101" s="166" t="s">
        <v>336</v>
      </c>
      <c r="C101" s="167"/>
      <c r="D101" s="168">
        <v>13813.8</v>
      </c>
      <c r="E101" s="173"/>
      <c r="F101" s="169">
        <v>0</v>
      </c>
      <c r="G101" s="170">
        <f>F101+D101</f>
        <v>13813.8</v>
      </c>
      <c r="H101" s="168">
        <v>6090.63</v>
      </c>
      <c r="I101" s="169">
        <v>0</v>
      </c>
      <c r="J101" s="169">
        <f>I101+H101</f>
        <v>6090.63</v>
      </c>
      <c r="K101" s="172">
        <f>J101/G101</f>
        <v>0.4409090909090909</v>
      </c>
    </row>
    <row r="102" spans="1:11" ht="12.75">
      <c r="A102" s="631"/>
      <c r="B102" s="632"/>
      <c r="C102" s="675"/>
      <c r="D102" s="633"/>
      <c r="E102" s="639"/>
      <c r="F102" s="634"/>
      <c r="G102" s="635"/>
      <c r="H102" s="633"/>
      <c r="I102" s="636"/>
      <c r="J102" s="636"/>
      <c r="K102" s="609"/>
    </row>
    <row r="103" spans="1:11" ht="12.75">
      <c r="A103" s="198" t="s">
        <v>65</v>
      </c>
      <c r="B103" s="198" t="s">
        <v>342</v>
      </c>
      <c r="C103" s="199"/>
      <c r="D103" s="200">
        <v>2236133.17</v>
      </c>
      <c r="E103" s="201"/>
      <c r="F103" s="202">
        <v>89000</v>
      </c>
      <c r="G103" s="203">
        <f>F103+D103</f>
        <v>2325133.17</v>
      </c>
      <c r="H103" s="200">
        <v>2121332.07</v>
      </c>
      <c r="I103" s="202">
        <v>28866.36</v>
      </c>
      <c r="J103" s="202">
        <f>I103+H103</f>
        <v>2150198.4299999997</v>
      </c>
      <c r="K103" s="762">
        <f>J103/G103</f>
        <v>0.9247635609619727</v>
      </c>
    </row>
    <row r="104" spans="1:11" ht="12.75">
      <c r="A104" s="674"/>
      <c r="B104" s="632"/>
      <c r="C104" s="675"/>
      <c r="D104" s="633"/>
      <c r="E104" s="639"/>
      <c r="F104" s="634"/>
      <c r="G104" s="635"/>
      <c r="H104" s="633"/>
      <c r="I104" s="636"/>
      <c r="J104" s="636"/>
      <c r="K104" s="763"/>
    </row>
    <row r="105" spans="1:11" ht="12.75">
      <c r="A105" s="166" t="s">
        <v>15</v>
      </c>
      <c r="B105" s="166" t="s">
        <v>15</v>
      </c>
      <c r="C105" s="167"/>
      <c r="D105" s="168">
        <v>4784</v>
      </c>
      <c r="E105" s="173" t="s">
        <v>105</v>
      </c>
      <c r="F105" s="169">
        <v>0</v>
      </c>
      <c r="G105" s="170">
        <f>F105+D105</f>
        <v>4784</v>
      </c>
      <c r="H105" s="168">
        <v>4784</v>
      </c>
      <c r="I105" s="169">
        <v>0</v>
      </c>
      <c r="J105" s="169">
        <f>I105+H105</f>
        <v>4784</v>
      </c>
      <c r="K105" s="765">
        <f aca="true" t="shared" si="1" ref="K105:K119">J105/G105</f>
        <v>1</v>
      </c>
    </row>
    <row r="106" spans="1:11" ht="12.75">
      <c r="A106" s="674"/>
      <c r="B106" s="632"/>
      <c r="C106" s="675"/>
      <c r="D106" s="633"/>
      <c r="E106" s="639"/>
      <c r="F106" s="634"/>
      <c r="G106" s="635"/>
      <c r="H106" s="633"/>
      <c r="I106" s="636"/>
      <c r="J106" s="636"/>
      <c r="K106" s="763"/>
    </row>
    <row r="107" spans="1:11" ht="12.75">
      <c r="A107" s="157" t="s">
        <v>343</v>
      </c>
      <c r="B107" s="157" t="s">
        <v>344</v>
      </c>
      <c r="C107" s="158"/>
      <c r="D107" s="159">
        <v>21528</v>
      </c>
      <c r="E107" s="581" t="s">
        <v>105</v>
      </c>
      <c r="F107" s="160">
        <v>0</v>
      </c>
      <c r="G107" s="152">
        <f>F107+D107</f>
        <v>21528</v>
      </c>
      <c r="H107" s="159">
        <v>21528</v>
      </c>
      <c r="I107" s="160">
        <v>0</v>
      </c>
      <c r="J107" s="160">
        <f>I107+H107</f>
        <v>21528</v>
      </c>
      <c r="K107" s="764">
        <f t="shared" si="1"/>
        <v>1</v>
      </c>
    </row>
    <row r="108" spans="1:11" ht="12.75">
      <c r="A108" s="674"/>
      <c r="B108" s="632"/>
      <c r="C108" s="675"/>
      <c r="D108" s="633"/>
      <c r="E108" s="639"/>
      <c r="F108" s="634"/>
      <c r="G108" s="635"/>
      <c r="H108" s="633"/>
      <c r="I108" s="636"/>
      <c r="J108" s="636"/>
      <c r="K108" s="763"/>
    </row>
    <row r="109" spans="1:11" ht="12.75">
      <c r="A109" s="157" t="s">
        <v>345</v>
      </c>
      <c r="B109" s="157" t="s">
        <v>346</v>
      </c>
      <c r="C109" s="158"/>
      <c r="D109" s="159">
        <v>355672.46</v>
      </c>
      <c r="E109" s="581"/>
      <c r="F109" s="160">
        <v>30000</v>
      </c>
      <c r="G109" s="152">
        <f>F109+D109</f>
        <v>385672.46</v>
      </c>
      <c r="H109" s="159">
        <v>225493.84</v>
      </c>
      <c r="I109" s="160">
        <v>3831.39</v>
      </c>
      <c r="J109" s="160">
        <f>I109+H109</f>
        <v>229325.23</v>
      </c>
      <c r="K109" s="764">
        <f t="shared" si="1"/>
        <v>0.5946113704877968</v>
      </c>
    </row>
    <row r="110" spans="1:11" ht="12.75">
      <c r="A110" s="674"/>
      <c r="B110" s="632"/>
      <c r="C110" s="675"/>
      <c r="D110" s="633"/>
      <c r="E110" s="639"/>
      <c r="F110" s="634"/>
      <c r="G110" s="635"/>
      <c r="H110" s="633"/>
      <c r="I110" s="636"/>
      <c r="J110" s="636"/>
      <c r="K110" s="763"/>
    </row>
    <row r="111" spans="1:11" ht="12.75">
      <c r="A111" s="166" t="s">
        <v>347</v>
      </c>
      <c r="B111" s="166" t="s">
        <v>348</v>
      </c>
      <c r="C111" s="167"/>
      <c r="D111" s="168">
        <v>16803.8</v>
      </c>
      <c r="E111" s="173" t="s">
        <v>105</v>
      </c>
      <c r="F111" s="169">
        <v>0</v>
      </c>
      <c r="G111" s="170">
        <f>F111+D111</f>
        <v>16803.8</v>
      </c>
      <c r="H111" s="168">
        <v>16803.8</v>
      </c>
      <c r="I111" s="169">
        <v>0</v>
      </c>
      <c r="J111" s="169">
        <f>I111+H111</f>
        <v>16803.8</v>
      </c>
      <c r="K111" s="765">
        <f t="shared" si="1"/>
        <v>1</v>
      </c>
    </row>
    <row r="112" spans="1:11" ht="12.75">
      <c r="A112" s="674"/>
      <c r="B112" s="632"/>
      <c r="C112" s="675"/>
      <c r="D112" s="633"/>
      <c r="E112" s="639"/>
      <c r="F112" s="634"/>
      <c r="G112" s="635"/>
      <c r="H112" s="633"/>
      <c r="I112" s="636"/>
      <c r="J112" s="636"/>
      <c r="K112" s="763"/>
    </row>
    <row r="113" spans="1:11" ht="12.75">
      <c r="A113" s="176" t="s">
        <v>349</v>
      </c>
      <c r="B113" s="176" t="s">
        <v>350</v>
      </c>
      <c r="C113" s="177"/>
      <c r="D113" s="178">
        <v>-352739.16</v>
      </c>
      <c r="E113" s="179" t="s">
        <v>105</v>
      </c>
      <c r="F113" s="180">
        <v>0</v>
      </c>
      <c r="G113" s="181">
        <f>F113+D113</f>
        <v>-352739.16</v>
      </c>
      <c r="H113" s="178">
        <v>-352739.16</v>
      </c>
      <c r="I113" s="180">
        <v>0</v>
      </c>
      <c r="J113" s="180">
        <f>I113+H113</f>
        <v>-352739.16</v>
      </c>
      <c r="K113" s="766">
        <f t="shared" si="1"/>
        <v>1</v>
      </c>
    </row>
    <row r="114" spans="1:11" ht="12.75">
      <c r="A114" s="674"/>
      <c r="B114" s="632"/>
      <c r="C114" s="675"/>
      <c r="D114" s="767"/>
      <c r="E114" s="707"/>
      <c r="F114" s="706"/>
      <c r="G114" s="772"/>
      <c r="H114" s="767"/>
      <c r="I114" s="706"/>
      <c r="J114" s="706"/>
      <c r="K114" s="763"/>
    </row>
    <row r="115" spans="1:11" ht="12.75">
      <c r="A115" s="176" t="s">
        <v>373</v>
      </c>
      <c r="B115" s="176" t="s">
        <v>374</v>
      </c>
      <c r="C115" s="177"/>
      <c r="D115" s="178">
        <v>14927.79</v>
      </c>
      <c r="E115" s="179" t="s">
        <v>105</v>
      </c>
      <c r="F115" s="180">
        <v>0</v>
      </c>
      <c r="G115" s="181">
        <f>F115+D115</f>
        <v>14927.79</v>
      </c>
      <c r="H115" s="178">
        <v>14927.79</v>
      </c>
      <c r="I115" s="180">
        <v>0</v>
      </c>
      <c r="J115" s="180">
        <f>I115+H115</f>
        <v>14927.79</v>
      </c>
      <c r="K115" s="766">
        <f t="shared" si="1"/>
        <v>1</v>
      </c>
    </row>
    <row r="116" spans="1:11" ht="12.75">
      <c r="A116" s="674"/>
      <c r="B116" s="632"/>
      <c r="C116" s="675"/>
      <c r="D116" s="633"/>
      <c r="E116" s="639"/>
      <c r="F116" s="634"/>
      <c r="G116" s="635"/>
      <c r="H116" s="633"/>
      <c r="I116" s="636"/>
      <c r="J116" s="636"/>
      <c r="K116" s="763"/>
    </row>
    <row r="117" spans="1:11" ht="12.75">
      <c r="A117" s="176" t="s">
        <v>375</v>
      </c>
      <c r="B117" s="176" t="s">
        <v>376</v>
      </c>
      <c r="C117" s="177"/>
      <c r="D117" s="178">
        <v>72504.8</v>
      </c>
      <c r="E117" s="179" t="s">
        <v>105</v>
      </c>
      <c r="F117" s="180">
        <v>0</v>
      </c>
      <c r="G117" s="181">
        <f>F117+D117</f>
        <v>72504.8</v>
      </c>
      <c r="H117" s="178">
        <v>72504.8</v>
      </c>
      <c r="I117" s="180">
        <v>0</v>
      </c>
      <c r="J117" s="180">
        <f>I117+H117</f>
        <v>72504.8</v>
      </c>
      <c r="K117" s="766">
        <f t="shared" si="1"/>
        <v>1</v>
      </c>
    </row>
    <row r="118" spans="1:11" ht="12.75">
      <c r="A118" s="674"/>
      <c r="B118" s="632"/>
      <c r="C118" s="675"/>
      <c r="D118" s="633"/>
      <c r="E118" s="639"/>
      <c r="F118" s="634"/>
      <c r="G118" s="635"/>
      <c r="H118" s="633"/>
      <c r="I118" s="636"/>
      <c r="J118" s="636"/>
      <c r="K118" s="763"/>
    </row>
    <row r="119" spans="1:11" ht="12.75">
      <c r="A119" s="166" t="s">
        <v>84</v>
      </c>
      <c r="B119" s="166" t="s">
        <v>379</v>
      </c>
      <c r="C119" s="167"/>
      <c r="D119" s="168">
        <v>64584</v>
      </c>
      <c r="E119" s="173"/>
      <c r="F119" s="169">
        <v>3000</v>
      </c>
      <c r="G119" s="170">
        <f>F119+D119</f>
        <v>67584</v>
      </c>
      <c r="H119" s="168">
        <v>48437.97</v>
      </c>
      <c r="I119" s="169">
        <v>188.39</v>
      </c>
      <c r="J119" s="169">
        <f>I119+H119</f>
        <v>48626.36</v>
      </c>
      <c r="K119" s="765">
        <f t="shared" si="1"/>
        <v>0.719495146780303</v>
      </c>
    </row>
    <row r="120" spans="1:11" ht="12.75">
      <c r="A120" s="733"/>
      <c r="B120" s="733"/>
      <c r="C120" s="771"/>
      <c r="D120" s="767"/>
      <c r="E120" s="707"/>
      <c r="F120" s="706"/>
      <c r="G120" s="772"/>
      <c r="H120" s="767"/>
      <c r="I120" s="706"/>
      <c r="J120" s="706"/>
      <c r="K120" s="763"/>
    </row>
    <row r="121" spans="1:11" ht="12.75">
      <c r="A121" s="176" t="s">
        <v>435</v>
      </c>
      <c r="B121" s="176" t="s">
        <v>436</v>
      </c>
      <c r="C121" s="177"/>
      <c r="D121" s="178">
        <v>427078.64</v>
      </c>
      <c r="E121" s="179" t="s">
        <v>105</v>
      </c>
      <c r="F121" s="180">
        <v>0</v>
      </c>
      <c r="G121" s="181">
        <f>F121+D121</f>
        <v>427078.64</v>
      </c>
      <c r="H121" s="178">
        <v>427078.64</v>
      </c>
      <c r="I121" s="180">
        <v>0</v>
      </c>
      <c r="J121" s="180">
        <f>I121+H121</f>
        <v>427078.64</v>
      </c>
      <c r="K121" s="766">
        <f>J121/G121</f>
        <v>1</v>
      </c>
    </row>
    <row r="122" spans="1:11" ht="12.75">
      <c r="A122" s="733"/>
      <c r="B122" s="733"/>
      <c r="C122" s="771"/>
      <c r="D122" s="767"/>
      <c r="E122" s="707"/>
      <c r="F122" s="706"/>
      <c r="G122" s="772"/>
      <c r="H122" s="767"/>
      <c r="I122" s="706"/>
      <c r="J122" s="706"/>
      <c r="K122" s="763"/>
    </row>
    <row r="123" spans="1:11" ht="12.75">
      <c r="A123" s="195" t="s">
        <v>8</v>
      </c>
      <c r="B123" s="190" t="s">
        <v>9</v>
      </c>
      <c r="C123" s="191" t="s">
        <v>10</v>
      </c>
      <c r="D123" s="178">
        <v>7560</v>
      </c>
      <c r="E123" s="179"/>
      <c r="F123" s="180">
        <v>0</v>
      </c>
      <c r="G123" s="181">
        <f>F123+D123</f>
        <v>7560</v>
      </c>
      <c r="H123" s="178">
        <v>6808</v>
      </c>
      <c r="I123" s="180">
        <v>0</v>
      </c>
      <c r="J123" s="180">
        <f>I123+H123</f>
        <v>6808</v>
      </c>
      <c r="K123" s="766">
        <f>J123/G123</f>
        <v>0.9005291005291005</v>
      </c>
    </row>
    <row r="124" spans="1:11" ht="12.75">
      <c r="A124" s="736"/>
      <c r="B124" s="737"/>
      <c r="C124" s="738"/>
      <c r="D124" s="767"/>
      <c r="E124" s="707"/>
      <c r="F124" s="706"/>
      <c r="G124" s="772"/>
      <c r="H124" s="767"/>
      <c r="I124" s="706"/>
      <c r="J124" s="706"/>
      <c r="K124" s="763"/>
    </row>
    <row r="125" spans="1:11" ht="12.75">
      <c r="A125" s="739" t="s">
        <v>400</v>
      </c>
      <c r="B125" s="690" t="s">
        <v>401</v>
      </c>
      <c r="C125" s="691"/>
      <c r="D125" s="200">
        <v>471365.13</v>
      </c>
      <c r="E125" s="201"/>
      <c r="F125" s="202">
        <v>23000</v>
      </c>
      <c r="G125" s="203">
        <f>F125+D125</f>
        <v>494365.13</v>
      </c>
      <c r="H125" s="200">
        <v>68978.23</v>
      </c>
      <c r="I125" s="202">
        <v>0</v>
      </c>
      <c r="J125" s="202">
        <f>I125+H125</f>
        <v>68978.23</v>
      </c>
      <c r="K125" s="762">
        <f>J125/G125</f>
        <v>0.13952891458991049</v>
      </c>
    </row>
    <row r="126" spans="1:11" ht="12.75">
      <c r="A126" s="736"/>
      <c r="B126" s="737"/>
      <c r="C126" s="738"/>
      <c r="D126" s="767"/>
      <c r="E126" s="707"/>
      <c r="F126" s="706"/>
      <c r="G126" s="772"/>
      <c r="H126" s="767"/>
      <c r="I126" s="706"/>
      <c r="J126" s="706"/>
      <c r="K126" s="763"/>
    </row>
    <row r="127" spans="1:11" ht="12.75">
      <c r="A127" s="739" t="s">
        <v>402</v>
      </c>
      <c r="B127" s="690" t="s">
        <v>403</v>
      </c>
      <c r="C127" s="691"/>
      <c r="D127" s="200">
        <v>537004</v>
      </c>
      <c r="E127" s="201"/>
      <c r="F127" s="202">
        <v>27000</v>
      </c>
      <c r="G127" s="203">
        <f aca="true" t="shared" si="2" ref="G127:G137">F127+D127</f>
        <v>564004</v>
      </c>
      <c r="H127" s="200">
        <v>13694.2</v>
      </c>
      <c r="I127" s="202">
        <v>0</v>
      </c>
      <c r="J127" s="202">
        <f>I127+H127</f>
        <v>13694.2</v>
      </c>
      <c r="K127" s="762">
        <f aca="true" t="shared" si="3" ref="K127:K139">J127/G127</f>
        <v>0.024280324253019483</v>
      </c>
    </row>
    <row r="128" spans="1:11" ht="12.75">
      <c r="A128" s="736"/>
      <c r="B128" s="737"/>
      <c r="C128" s="738"/>
      <c r="D128" s="767"/>
      <c r="E128" s="707"/>
      <c r="F128" s="706"/>
      <c r="G128" s="772"/>
      <c r="H128" s="767"/>
      <c r="I128" s="706"/>
      <c r="J128" s="706"/>
      <c r="K128" s="763"/>
    </row>
    <row r="129" spans="1:11" ht="12.75">
      <c r="A129" s="739" t="s">
        <v>404</v>
      </c>
      <c r="B129" s="690" t="s">
        <v>405</v>
      </c>
      <c r="C129" s="691"/>
      <c r="D129" s="200">
        <v>266782.15</v>
      </c>
      <c r="E129" s="201"/>
      <c r="F129" s="202">
        <v>0</v>
      </c>
      <c r="G129" s="203">
        <f t="shared" si="2"/>
        <v>266782.15</v>
      </c>
      <c r="H129" s="200">
        <v>13339.11</v>
      </c>
      <c r="I129" s="202">
        <v>0</v>
      </c>
      <c r="J129" s="202">
        <f>I129+H129</f>
        <v>13339.11</v>
      </c>
      <c r="K129" s="762">
        <f t="shared" si="3"/>
        <v>0.050000009370941796</v>
      </c>
    </row>
    <row r="130" spans="1:11" ht="12.75">
      <c r="A130" s="736"/>
      <c r="B130" s="737"/>
      <c r="C130" s="738"/>
      <c r="D130" s="767"/>
      <c r="E130" s="707"/>
      <c r="F130" s="706"/>
      <c r="G130" s="772"/>
      <c r="H130" s="767"/>
      <c r="I130" s="706"/>
      <c r="J130" s="706"/>
      <c r="K130" s="763"/>
    </row>
    <row r="131" spans="1:11" ht="12.75">
      <c r="A131" s="739" t="s">
        <v>406</v>
      </c>
      <c r="B131" s="690" t="s">
        <v>407</v>
      </c>
      <c r="C131" s="691"/>
      <c r="D131" s="200">
        <v>246734.8</v>
      </c>
      <c r="E131" s="201"/>
      <c r="F131" s="202">
        <v>0</v>
      </c>
      <c r="G131" s="203">
        <f t="shared" si="2"/>
        <v>246734.8</v>
      </c>
      <c r="H131" s="200">
        <v>0</v>
      </c>
      <c r="I131" s="202">
        <v>0</v>
      </c>
      <c r="J131" s="202">
        <f>I131+H131</f>
        <v>0</v>
      </c>
      <c r="K131" s="762">
        <f t="shared" si="3"/>
        <v>0</v>
      </c>
    </row>
    <row r="132" spans="1:11" ht="12.75">
      <c r="A132" s="736"/>
      <c r="B132" s="737"/>
      <c r="C132" s="738"/>
      <c r="D132" s="767"/>
      <c r="E132" s="707"/>
      <c r="F132" s="706"/>
      <c r="G132" s="772"/>
      <c r="H132" s="767"/>
      <c r="I132" s="706"/>
      <c r="J132" s="706"/>
      <c r="K132" s="763"/>
    </row>
    <row r="133" spans="1:11" ht="12.75">
      <c r="A133" s="739" t="s">
        <v>66</v>
      </c>
      <c r="B133" s="690" t="s">
        <v>408</v>
      </c>
      <c r="C133" s="691"/>
      <c r="D133" s="200">
        <v>772974.8</v>
      </c>
      <c r="E133" s="201"/>
      <c r="F133" s="202">
        <v>39000</v>
      </c>
      <c r="G133" s="203">
        <f t="shared" si="2"/>
        <v>811974.8</v>
      </c>
      <c r="H133" s="200">
        <v>147631.89</v>
      </c>
      <c r="I133" s="202">
        <v>0</v>
      </c>
      <c r="J133" s="202">
        <f>I133+H133</f>
        <v>147631.89</v>
      </c>
      <c r="K133" s="762">
        <f t="shared" si="3"/>
        <v>0.18181831505115675</v>
      </c>
    </row>
    <row r="134" spans="1:11" ht="12.75">
      <c r="A134" s="736"/>
      <c r="B134" s="737"/>
      <c r="C134" s="738"/>
      <c r="D134" s="767"/>
      <c r="E134" s="707"/>
      <c r="F134" s="706"/>
      <c r="G134" s="772"/>
      <c r="H134" s="767"/>
      <c r="I134" s="706"/>
      <c r="J134" s="706"/>
      <c r="K134" s="763"/>
    </row>
    <row r="135" spans="1:11" ht="12.75">
      <c r="A135" s="739" t="s">
        <v>409</v>
      </c>
      <c r="B135" s="690" t="s">
        <v>410</v>
      </c>
      <c r="C135" s="691"/>
      <c r="D135" s="200">
        <v>402299.71</v>
      </c>
      <c r="E135" s="201"/>
      <c r="F135" s="202">
        <v>20000</v>
      </c>
      <c r="G135" s="203">
        <f t="shared" si="2"/>
        <v>422299.71</v>
      </c>
      <c r="H135" s="200">
        <v>126080.11</v>
      </c>
      <c r="I135" s="202">
        <v>-105.96</v>
      </c>
      <c r="J135" s="202">
        <f>I135+H135</f>
        <v>125974.15</v>
      </c>
      <c r="K135" s="762">
        <f t="shared" si="3"/>
        <v>0.29830508289953594</v>
      </c>
    </row>
    <row r="136" spans="1:11" ht="12.75">
      <c r="A136" s="736"/>
      <c r="B136" s="737"/>
      <c r="C136" s="738"/>
      <c r="D136" s="767"/>
      <c r="E136" s="707"/>
      <c r="F136" s="706"/>
      <c r="G136" s="772"/>
      <c r="H136" s="767"/>
      <c r="I136" s="706"/>
      <c r="J136" s="706"/>
      <c r="K136" s="763"/>
    </row>
    <row r="137" spans="1:11" ht="12.75">
      <c r="A137" s="739" t="s">
        <v>73</v>
      </c>
      <c r="B137" s="690" t="s">
        <v>411</v>
      </c>
      <c r="C137" s="691"/>
      <c r="D137" s="200">
        <v>234807.21</v>
      </c>
      <c r="E137" s="201"/>
      <c r="F137" s="202">
        <v>12000</v>
      </c>
      <c r="G137" s="203">
        <f t="shared" si="2"/>
        <v>246807.21</v>
      </c>
      <c r="H137" s="200">
        <v>0</v>
      </c>
      <c r="I137" s="202">
        <v>0</v>
      </c>
      <c r="J137" s="202">
        <f>I137+H137</f>
        <v>0</v>
      </c>
      <c r="K137" s="762">
        <f t="shared" si="3"/>
        <v>0</v>
      </c>
    </row>
    <row r="138" spans="1:11" ht="12.75">
      <c r="A138" s="736"/>
      <c r="B138" s="737"/>
      <c r="C138" s="738"/>
      <c r="D138" s="767"/>
      <c r="E138" s="707"/>
      <c r="F138" s="706"/>
      <c r="G138" s="772"/>
      <c r="H138" s="767"/>
      <c r="I138" s="706"/>
      <c r="J138" s="706"/>
      <c r="K138" s="763"/>
    </row>
    <row r="139" spans="1:11" ht="12.75">
      <c r="A139" s="739" t="s">
        <v>419</v>
      </c>
      <c r="B139" s="690" t="s">
        <v>438</v>
      </c>
      <c r="C139" s="691"/>
      <c r="D139" s="200">
        <v>991305.98</v>
      </c>
      <c r="E139" s="201"/>
      <c r="F139" s="202">
        <v>0</v>
      </c>
      <c r="G139" s="203">
        <f>F139+D139</f>
        <v>991305.98</v>
      </c>
      <c r="H139" s="200">
        <v>644348.88</v>
      </c>
      <c r="I139" s="202">
        <v>0</v>
      </c>
      <c r="J139" s="202">
        <f>I139+H139</f>
        <v>644348.88</v>
      </c>
      <c r="K139" s="762">
        <f t="shared" si="3"/>
        <v>0.6499999929386081</v>
      </c>
    </row>
    <row r="140" spans="1:11" ht="12.75">
      <c r="A140" s="736"/>
      <c r="B140" s="737"/>
      <c r="C140" s="738"/>
      <c r="D140" s="767"/>
      <c r="E140" s="707"/>
      <c r="F140" s="706"/>
      <c r="G140" s="772"/>
      <c r="H140" s="767"/>
      <c r="I140" s="706"/>
      <c r="J140" s="706"/>
      <c r="K140" s="763"/>
    </row>
    <row r="141" spans="1:11" ht="12.75">
      <c r="A141" s="760" t="s">
        <v>432</v>
      </c>
      <c r="B141" s="190" t="s">
        <v>433</v>
      </c>
      <c r="C141" s="191"/>
      <c r="D141" s="178">
        <v>467113.75</v>
      </c>
      <c r="E141" s="179"/>
      <c r="F141" s="180">
        <v>0</v>
      </c>
      <c r="G141" s="181">
        <f>F141+D141</f>
        <v>467113.75</v>
      </c>
      <c r="H141" s="178">
        <v>233556.87</v>
      </c>
      <c r="I141" s="180">
        <v>0</v>
      </c>
      <c r="J141" s="180">
        <f>I141+H141</f>
        <v>233556.87</v>
      </c>
      <c r="K141" s="766">
        <f>J141/G141</f>
        <v>0.4999999892959691</v>
      </c>
    </row>
    <row r="142" spans="1:11" ht="12.75">
      <c r="A142" s="736"/>
      <c r="B142" s="737"/>
      <c r="C142" s="738"/>
      <c r="D142" s="767"/>
      <c r="E142" s="707"/>
      <c r="F142" s="706"/>
      <c r="G142" s="772"/>
      <c r="H142" s="767"/>
      <c r="I142" s="706"/>
      <c r="J142" s="706"/>
      <c r="K142" s="763"/>
    </row>
    <row r="143" spans="1:11" ht="12.75">
      <c r="A143" s="761" t="s">
        <v>15</v>
      </c>
      <c r="B143" s="696" t="s">
        <v>434</v>
      </c>
      <c r="C143" s="697"/>
      <c r="D143" s="168">
        <v>78768.56</v>
      </c>
      <c r="E143" s="173"/>
      <c r="F143" s="169">
        <v>4000</v>
      </c>
      <c r="G143" s="170">
        <f>F143+D143</f>
        <v>82768.56</v>
      </c>
      <c r="H143" s="168">
        <v>33870.48</v>
      </c>
      <c r="I143" s="169">
        <v>83.51</v>
      </c>
      <c r="J143" s="169">
        <f>I143+H143</f>
        <v>33953.990000000005</v>
      </c>
      <c r="K143" s="765">
        <f aca="true" t="shared" si="4" ref="K143:K149">J143/G143</f>
        <v>0.4102281107705632</v>
      </c>
    </row>
    <row r="144" spans="1:11" ht="12.75">
      <c r="A144" s="736"/>
      <c r="B144" s="737"/>
      <c r="C144" s="738"/>
      <c r="D144" s="767"/>
      <c r="E144" s="707"/>
      <c r="F144" s="706"/>
      <c r="G144" s="772"/>
      <c r="H144" s="767"/>
      <c r="I144" s="706"/>
      <c r="J144" s="706"/>
      <c r="K144" s="763"/>
    </row>
    <row r="145" spans="1:11" ht="12.75">
      <c r="A145" s="739" t="s">
        <v>402</v>
      </c>
      <c r="B145" s="690" t="s">
        <v>437</v>
      </c>
      <c r="C145" s="691"/>
      <c r="D145" s="200">
        <v>414838.58</v>
      </c>
      <c r="E145" s="201"/>
      <c r="F145" s="202">
        <v>20000</v>
      </c>
      <c r="G145" s="203">
        <f>F145+D145</f>
        <v>434838.58</v>
      </c>
      <c r="H145" s="200">
        <v>20741.93</v>
      </c>
      <c r="I145" s="202">
        <v>0</v>
      </c>
      <c r="J145" s="202">
        <f>I145+H145</f>
        <v>20741.93</v>
      </c>
      <c r="K145" s="762">
        <f t="shared" si="4"/>
        <v>0.04770029834979224</v>
      </c>
    </row>
    <row r="146" spans="1:11" ht="12.75">
      <c r="A146" s="736"/>
      <c r="B146" s="737"/>
      <c r="C146" s="738"/>
      <c r="D146" s="767"/>
      <c r="E146" s="707"/>
      <c r="F146" s="706"/>
      <c r="G146" s="772"/>
      <c r="H146" s="767"/>
      <c r="I146" s="706"/>
      <c r="J146" s="706"/>
      <c r="K146" s="763"/>
    </row>
    <row r="147" spans="1:11" ht="12.75">
      <c r="A147" s="760" t="s">
        <v>439</v>
      </c>
      <c r="B147" s="190" t="s">
        <v>440</v>
      </c>
      <c r="C147" s="191"/>
      <c r="D147" s="178">
        <v>13042.94</v>
      </c>
      <c r="E147" s="179" t="s">
        <v>105</v>
      </c>
      <c r="F147" s="180">
        <v>0</v>
      </c>
      <c r="G147" s="181">
        <f>F147+D147</f>
        <v>13042.94</v>
      </c>
      <c r="H147" s="178">
        <v>13042.94</v>
      </c>
      <c r="I147" s="180">
        <v>0</v>
      </c>
      <c r="J147" s="180">
        <f>I147+H147</f>
        <v>13042.94</v>
      </c>
      <c r="K147" s="766">
        <f t="shared" si="4"/>
        <v>1</v>
      </c>
    </row>
    <row r="148" spans="1:11" ht="12.75">
      <c r="A148" s="736"/>
      <c r="B148" s="737"/>
      <c r="C148" s="738"/>
      <c r="D148" s="767"/>
      <c r="E148" s="707"/>
      <c r="F148" s="706"/>
      <c r="G148" s="772"/>
      <c r="H148" s="767"/>
      <c r="I148" s="706"/>
      <c r="J148" s="706"/>
      <c r="K148" s="763"/>
    </row>
    <row r="149" spans="1:11" ht="12.75">
      <c r="A149" s="760" t="s">
        <v>441</v>
      </c>
      <c r="B149" s="190" t="s">
        <v>442</v>
      </c>
      <c r="C149" s="191"/>
      <c r="D149" s="178">
        <v>1859.78</v>
      </c>
      <c r="E149" s="179"/>
      <c r="F149" s="180">
        <v>0</v>
      </c>
      <c r="G149" s="181">
        <f>F149+D149</f>
        <v>1859.78</v>
      </c>
      <c r="H149" s="178">
        <v>1859.78</v>
      </c>
      <c r="I149" s="180">
        <v>0</v>
      </c>
      <c r="J149" s="180">
        <f>I149+H149</f>
        <v>1859.78</v>
      </c>
      <c r="K149" s="766">
        <f t="shared" si="4"/>
        <v>1</v>
      </c>
    </row>
    <row r="150" spans="1:11" ht="12.75">
      <c r="A150" s="736"/>
      <c r="B150" s="737"/>
      <c r="C150" s="738"/>
      <c r="D150" s="767"/>
      <c r="E150" s="707"/>
      <c r="F150" s="706"/>
      <c r="G150" s="772"/>
      <c r="H150" s="767"/>
      <c r="I150" s="706"/>
      <c r="J150" s="706"/>
      <c r="K150" s="763"/>
    </row>
    <row r="151" spans="1:11" ht="12.75">
      <c r="A151" s="760" t="s">
        <v>455</v>
      </c>
      <c r="B151" s="760" t="s">
        <v>454</v>
      </c>
      <c r="C151" s="760"/>
      <c r="D151" s="760">
        <v>5812.56</v>
      </c>
      <c r="E151" s="179" t="s">
        <v>105</v>
      </c>
      <c r="F151" s="760">
        <v>0</v>
      </c>
      <c r="G151" s="760">
        <f>F151+D151</f>
        <v>5812.56</v>
      </c>
      <c r="H151" s="760">
        <v>5812.56</v>
      </c>
      <c r="I151" s="760">
        <v>0</v>
      </c>
      <c r="J151" s="760">
        <f>I151+H151</f>
        <v>5812.56</v>
      </c>
      <c r="K151" s="796">
        <f>J151/G151</f>
        <v>1</v>
      </c>
    </row>
    <row r="152" spans="1:11" ht="12.75">
      <c r="A152" s="736"/>
      <c r="B152" s="737"/>
      <c r="C152" s="738"/>
      <c r="D152" s="767"/>
      <c r="E152" s="707"/>
      <c r="F152" s="706"/>
      <c r="G152" s="772"/>
      <c r="H152" s="767"/>
      <c r="I152" s="706"/>
      <c r="J152" s="706"/>
      <c r="K152" s="763"/>
    </row>
    <row r="153" spans="1:11" ht="12.75">
      <c r="A153" s="739" t="s">
        <v>402</v>
      </c>
      <c r="B153" s="739" t="s">
        <v>456</v>
      </c>
      <c r="C153" s="739"/>
      <c r="D153" s="739">
        <v>465287.96</v>
      </c>
      <c r="E153" s="739"/>
      <c r="F153" s="202">
        <v>18000</v>
      </c>
      <c r="G153" s="739">
        <f>F153+D153</f>
        <v>483287.96</v>
      </c>
      <c r="H153" s="739">
        <v>23264.4</v>
      </c>
      <c r="I153" s="739">
        <v>0</v>
      </c>
      <c r="J153" s="739">
        <f>I153+H153</f>
        <v>23264.4</v>
      </c>
      <c r="K153" s="739">
        <f>J153/G153</f>
        <v>0.04813776035306156</v>
      </c>
    </row>
    <row r="154" spans="1:11" ht="12.75">
      <c r="A154" s="736"/>
      <c r="B154" s="737"/>
      <c r="C154" s="738"/>
      <c r="D154" s="767"/>
      <c r="E154" s="707"/>
      <c r="F154" s="706"/>
      <c r="G154" s="772"/>
      <c r="H154" s="767"/>
      <c r="I154" s="706"/>
      <c r="J154" s="706"/>
      <c r="K154" s="763"/>
    </row>
    <row r="155" spans="1:11" ht="12.75">
      <c r="A155" s="739" t="s">
        <v>73</v>
      </c>
      <c r="B155" s="739" t="s">
        <v>457</v>
      </c>
      <c r="C155" s="739"/>
      <c r="D155" s="739">
        <v>731919.71</v>
      </c>
      <c r="E155" s="739"/>
      <c r="F155" s="202">
        <v>29000</v>
      </c>
      <c r="G155" s="739">
        <f>F155+D155</f>
        <v>760919.71</v>
      </c>
      <c r="H155" s="739">
        <v>0</v>
      </c>
      <c r="I155" s="739">
        <v>0</v>
      </c>
      <c r="J155" s="739">
        <f>I155+H155</f>
        <v>0</v>
      </c>
      <c r="K155" s="739">
        <f>J155/G155</f>
        <v>0</v>
      </c>
    </row>
    <row r="156" spans="1:11" ht="12.75">
      <c r="A156" s="736"/>
      <c r="B156" s="737"/>
      <c r="C156" s="738"/>
      <c r="D156" s="767"/>
      <c r="E156" s="707"/>
      <c r="F156" s="706"/>
      <c r="G156" s="772"/>
      <c r="H156" s="767"/>
      <c r="I156" s="706"/>
      <c r="J156" s="706"/>
      <c r="K156" s="763"/>
    </row>
    <row r="157" spans="1:11" ht="12.75">
      <c r="A157" s="760" t="s">
        <v>458</v>
      </c>
      <c r="B157" s="760" t="s">
        <v>459</v>
      </c>
      <c r="C157" s="760"/>
      <c r="D157" s="760">
        <v>52387.94</v>
      </c>
      <c r="E157" s="760"/>
      <c r="F157" s="760">
        <v>0</v>
      </c>
      <c r="G157" s="760">
        <f>F157+D157</f>
        <v>52387.94</v>
      </c>
      <c r="H157" s="760">
        <v>15811.14</v>
      </c>
      <c r="I157" s="760">
        <v>0</v>
      </c>
      <c r="J157" s="760">
        <f>I157+H157</f>
        <v>15811.14</v>
      </c>
      <c r="K157" s="766">
        <f>J157/G157</f>
        <v>0.3018087750730416</v>
      </c>
    </row>
    <row r="158" spans="1:11" ht="12.75">
      <c r="A158" s="736"/>
      <c r="B158" s="737"/>
      <c r="C158" s="738"/>
      <c r="D158" s="767"/>
      <c r="E158" s="707"/>
      <c r="F158" s="706"/>
      <c r="G158" s="772"/>
      <c r="H158" s="767"/>
      <c r="I158" s="706"/>
      <c r="J158" s="706"/>
      <c r="K158" s="763"/>
    </row>
    <row r="159" spans="1:11" ht="12.75">
      <c r="A159" s="760" t="s">
        <v>469</v>
      </c>
      <c r="B159" s="760" t="s">
        <v>470</v>
      </c>
      <c r="C159" s="760"/>
      <c r="D159" s="795">
        <v>11408</v>
      </c>
      <c r="E159" s="760"/>
      <c r="F159" s="760">
        <v>0</v>
      </c>
      <c r="G159" s="795">
        <f>F159+D159</f>
        <v>11408</v>
      </c>
      <c r="H159" s="795">
        <v>0</v>
      </c>
      <c r="I159" s="795">
        <v>0</v>
      </c>
      <c r="J159" s="795">
        <f>I159+H159</f>
        <v>0</v>
      </c>
      <c r="K159" s="760">
        <f>J159/G159</f>
        <v>0</v>
      </c>
    </row>
    <row r="160" spans="1:11" ht="12.75">
      <c r="A160" s="736"/>
      <c r="B160" s="737"/>
      <c r="C160" s="738"/>
      <c r="D160" s="794"/>
      <c r="E160" s="707"/>
      <c r="F160" s="706"/>
      <c r="G160" s="772"/>
      <c r="H160" s="767"/>
      <c r="I160" s="706"/>
      <c r="J160" s="706"/>
      <c r="K160" s="763"/>
    </row>
    <row r="161" spans="1:11" ht="12.75">
      <c r="A161" s="761" t="s">
        <v>471</v>
      </c>
      <c r="B161" s="761" t="s">
        <v>472</v>
      </c>
      <c r="C161" s="761"/>
      <c r="D161" s="761">
        <v>46895.16</v>
      </c>
      <c r="E161" s="761"/>
      <c r="F161" s="761">
        <v>800</v>
      </c>
      <c r="G161" s="761">
        <f>F161+D161</f>
        <v>47695.16</v>
      </c>
      <c r="H161" s="761">
        <v>0</v>
      </c>
      <c r="I161" s="761">
        <v>0</v>
      </c>
      <c r="J161" s="761">
        <f>I161+H161</f>
        <v>0</v>
      </c>
      <c r="K161" s="761">
        <f>J161/G161</f>
        <v>0</v>
      </c>
    </row>
    <row r="162" spans="1:11" ht="12.75">
      <c r="A162" s="736"/>
      <c r="B162" s="737"/>
      <c r="C162" s="738"/>
      <c r="D162" s="767"/>
      <c r="E162" s="707"/>
      <c r="F162" s="706"/>
      <c r="G162" s="772"/>
      <c r="H162" s="767"/>
      <c r="I162" s="706"/>
      <c r="J162" s="706"/>
      <c r="K162" s="763"/>
    </row>
    <row r="163" spans="1:11" ht="12.75">
      <c r="A163" s="739" t="s">
        <v>473</v>
      </c>
      <c r="B163" s="739" t="s">
        <v>474</v>
      </c>
      <c r="C163" s="739"/>
      <c r="D163" s="739">
        <v>151943.43</v>
      </c>
      <c r="E163" s="739"/>
      <c r="F163" s="739">
        <v>4500</v>
      </c>
      <c r="G163" s="739">
        <f>F163+D163</f>
        <v>156443.43</v>
      </c>
      <c r="H163" s="739">
        <v>7597.17</v>
      </c>
      <c r="I163" s="739">
        <v>0</v>
      </c>
      <c r="J163" s="739">
        <f>I163+H163</f>
        <v>7597.17</v>
      </c>
      <c r="K163" s="739">
        <f>J163/G163</f>
        <v>0.048561770858642</v>
      </c>
    </row>
    <row r="164" spans="1:11" ht="12.75">
      <c r="A164" s="736"/>
      <c r="B164" s="737"/>
      <c r="C164" s="738"/>
      <c r="D164" s="767"/>
      <c r="E164" s="707"/>
      <c r="F164" s="706"/>
      <c r="G164" s="772"/>
      <c r="H164" s="767"/>
      <c r="I164" s="706"/>
      <c r="J164" s="706"/>
      <c r="K164" s="763"/>
    </row>
    <row r="165" spans="1:11" ht="12.75">
      <c r="A165" s="760" t="s">
        <v>458</v>
      </c>
      <c r="B165" s="760" t="s">
        <v>475</v>
      </c>
      <c r="C165" s="760"/>
      <c r="D165" s="760">
        <v>62329.27</v>
      </c>
      <c r="E165" s="760"/>
      <c r="F165" s="760">
        <v>0</v>
      </c>
      <c r="G165" s="760">
        <f>F165+D165</f>
        <v>62329.27</v>
      </c>
      <c r="H165" s="760">
        <v>62329.27</v>
      </c>
      <c r="I165" s="760">
        <v>0</v>
      </c>
      <c r="J165" s="760">
        <f>I165+H165</f>
        <v>62329.27</v>
      </c>
      <c r="K165" s="760">
        <f>J165/G165</f>
        <v>1</v>
      </c>
    </row>
    <row r="166" spans="1:11" ht="12.75">
      <c r="A166" s="736"/>
      <c r="B166" s="737"/>
      <c r="C166" s="738"/>
      <c r="D166" s="767"/>
      <c r="E166" s="707"/>
      <c r="F166" s="706"/>
      <c r="G166" s="772"/>
      <c r="H166" s="767"/>
      <c r="I166" s="706"/>
      <c r="J166" s="706"/>
      <c r="K166" s="763"/>
    </row>
    <row r="167" spans="1:11" ht="12.75">
      <c r="A167" s="739" t="s">
        <v>482</v>
      </c>
      <c r="B167" s="739" t="s">
        <v>483</v>
      </c>
      <c r="C167" s="739"/>
      <c r="D167" s="739">
        <v>556698.65</v>
      </c>
      <c r="E167" s="739"/>
      <c r="F167" s="739">
        <v>6000</v>
      </c>
      <c r="G167" s="739">
        <f>F167+D167</f>
        <v>562698.65</v>
      </c>
      <c r="H167" s="739">
        <v>0</v>
      </c>
      <c r="I167" s="739">
        <v>0</v>
      </c>
      <c r="J167" s="739">
        <f>I167+H167</f>
        <v>0</v>
      </c>
      <c r="K167" s="739"/>
    </row>
    <row r="168" spans="1:11" ht="12.75">
      <c r="A168" s="736"/>
      <c r="B168" s="737"/>
      <c r="C168" s="738"/>
      <c r="D168" s="767"/>
      <c r="E168" s="707"/>
      <c r="F168" s="706"/>
      <c r="G168" s="772"/>
      <c r="H168" s="767"/>
      <c r="I168" s="706"/>
      <c r="J168" s="706"/>
      <c r="K168" s="763"/>
    </row>
    <row r="169" spans="1:11" ht="12.75">
      <c r="A169" s="760" t="s">
        <v>8</v>
      </c>
      <c r="B169" s="760"/>
      <c r="C169" s="760"/>
      <c r="D169" s="795">
        <v>3027</v>
      </c>
      <c r="E169" s="760"/>
      <c r="F169" s="760">
        <v>0</v>
      </c>
      <c r="G169" s="795">
        <f>F169+D169</f>
        <v>3027</v>
      </c>
      <c r="H169" s="795">
        <v>2270</v>
      </c>
      <c r="I169" s="760">
        <v>0</v>
      </c>
      <c r="J169" s="795">
        <f>I169+H169</f>
        <v>2270</v>
      </c>
      <c r="K169" s="760"/>
    </row>
    <row r="170" spans="1:11" ht="13.5" thickBot="1">
      <c r="A170" s="9"/>
      <c r="B170" s="9"/>
      <c r="C170" s="67"/>
      <c r="D170" s="106"/>
      <c r="E170" s="586"/>
      <c r="F170" s="19"/>
      <c r="G170" s="59"/>
      <c r="H170" s="106"/>
      <c r="I170" s="19"/>
      <c r="J170" s="19"/>
      <c r="K170" s="768"/>
    </row>
    <row r="171" spans="1:11" ht="15.75" thickBot="1">
      <c r="A171" s="724" t="s">
        <v>0</v>
      </c>
      <c r="B171" s="725"/>
      <c r="C171" s="726"/>
      <c r="D171" s="727">
        <f>SUM(D5:D170)</f>
        <v>90410042.64999999</v>
      </c>
      <c r="E171" s="728"/>
      <c r="F171" s="729">
        <f>SUM(F5:F170)</f>
        <v>5070587.9</v>
      </c>
      <c r="G171" s="730">
        <f>SUM(G5:G170)</f>
        <v>95480630.54999998</v>
      </c>
      <c r="H171" s="727">
        <f>SUM(H5:H170)</f>
        <v>78893707.41000001</v>
      </c>
      <c r="I171" s="731">
        <f>SUM(I5:I170)</f>
        <v>4404757.949999999</v>
      </c>
      <c r="J171" s="730">
        <f>SUM(J5:J170)</f>
        <v>83298465.36000004</v>
      </c>
      <c r="K171" s="732">
        <f>H171/G171</f>
        <v>0.8262797067378608</v>
      </c>
    </row>
    <row r="172" spans="4:7" ht="12.75">
      <c r="D172" s="3"/>
      <c r="F172" s="3"/>
      <c r="G172" s="3"/>
    </row>
    <row r="173" spans="4:10" ht="13.5" thickBot="1">
      <c r="D173" s="3"/>
      <c r="F173" s="3"/>
      <c r="G173" s="3"/>
      <c r="I173" s="14" t="s">
        <v>168</v>
      </c>
      <c r="J173" s="14" t="s">
        <v>1</v>
      </c>
    </row>
    <row r="174" spans="1:10" ht="15">
      <c r="A174" s="56" t="s">
        <v>122</v>
      </c>
      <c r="B174" s="57"/>
      <c r="D174" s="3"/>
      <c r="E174" s="588"/>
      <c r="F174" s="3" t="s">
        <v>162</v>
      </c>
      <c r="G174" s="3"/>
      <c r="I174" s="160">
        <f>D11+D59+D107+D109</f>
        <v>7763485.600000001</v>
      </c>
      <c r="J174" s="160">
        <f>H11+H59+H107+H109</f>
        <v>6629379.159999999</v>
      </c>
    </row>
    <row r="175" spans="1:10" ht="15">
      <c r="A175" s="16" t="s">
        <v>123</v>
      </c>
      <c r="B175" s="63">
        <f>+D171-H171</f>
        <v>11516335.23999998</v>
      </c>
      <c r="F175" s="3"/>
      <c r="G175" s="3"/>
      <c r="H175" s="3"/>
      <c r="I175" s="10"/>
      <c r="J175" s="10"/>
    </row>
    <row r="176" spans="1:10" ht="15">
      <c r="A176" s="16" t="s">
        <v>124</v>
      </c>
      <c r="B176" s="63">
        <f>+F171-I171</f>
        <v>665829.9500000011</v>
      </c>
      <c r="D176" s="3"/>
      <c r="E176" s="589"/>
      <c r="F176" s="3" t="s">
        <v>163</v>
      </c>
      <c r="G176" s="3"/>
      <c r="I176" s="169">
        <f>D13+D15+D17+D21+D23+D25+D27+D33+D35+D37+D39+D41+D43+D47+D49+D61+D89+D95+D97+D99+D101+D105+D111+D119+D143+D161</f>
        <v>1728971.6000000003</v>
      </c>
      <c r="J176" s="169">
        <f>H13+H15+H17+H21+H23+H25+H27+H33+H35+H37+H39+H41+H43+H47+H49+H61+H89+H95+H97+H99+H101+H105+H111+H119+H143+H161</f>
        <v>1450605.86</v>
      </c>
    </row>
    <row r="177" spans="1:10" ht="15.75" thickBot="1">
      <c r="A177" s="17" t="s">
        <v>125</v>
      </c>
      <c r="B177" s="64">
        <f>SUM(B175:B176)</f>
        <v>12182165.18999998</v>
      </c>
      <c r="F177" s="3"/>
      <c r="G177" s="3"/>
      <c r="I177" s="9"/>
      <c r="J177" s="9"/>
    </row>
    <row r="178" spans="4:10" ht="15.75" customHeight="1">
      <c r="D178" s="3"/>
      <c r="E178" s="590"/>
      <c r="F178" s="3" t="s">
        <v>164</v>
      </c>
      <c r="G178" s="3"/>
      <c r="I178" s="180">
        <f>D7+D9+D19+D29+D31+D45+D51+D55+D57+D81+D83+D85+D87+D91+D93+D113+D115+D117+D121+D123+D141+D147+D149+D151+D157+D159+D165+D169</f>
        <v>2428843.04</v>
      </c>
      <c r="J178" s="180">
        <f>H7+H9+H19+H29+H31+H45+H51+H55+H57+H81+H83+H85+H87+H91+H93+H113+H115+H117+H121+H123+H141+H147+H149+H151+H157+H159+H165+H169</f>
        <v>2042251.48</v>
      </c>
    </row>
    <row r="179" spans="6:10" ht="12.75">
      <c r="F179" s="3"/>
      <c r="G179" s="3"/>
      <c r="I179" s="9"/>
      <c r="J179" s="9"/>
    </row>
    <row r="180" spans="5:10" ht="15.75" customHeight="1">
      <c r="E180" s="591"/>
      <c r="F180" s="3" t="s">
        <v>167</v>
      </c>
      <c r="G180" s="3"/>
      <c r="I180" s="202">
        <f>D53+D63+D65+D67+D69+D71+D73+D75+D77+D79+D103+D125+D127+D129+D131+D133+D135+D137+D139+D145+D153+D155+D163+D167</f>
        <v>78488742.41</v>
      </c>
      <c r="J180" s="202">
        <f>H53+H63+H65+H67+H69+H71+H73+H75+H77+H79+H103+H125+H127+H129+H131+H133+H135+H137+H139+H145+H153+H155+H163+H167</f>
        <v>68771470.91000001</v>
      </c>
    </row>
    <row r="181" spans="6:10" ht="13.5" thickBot="1">
      <c r="F181" s="3"/>
      <c r="G181" s="3"/>
      <c r="I181" s="42"/>
      <c r="J181" s="42"/>
    </row>
    <row r="182" spans="3:10" ht="13.5" thickBot="1">
      <c r="C182" s="3"/>
      <c r="F182" s="3"/>
      <c r="G182" s="3"/>
      <c r="I182" s="218">
        <f>SUM(I174:I180)</f>
        <v>90410042.65</v>
      </c>
      <c r="J182" s="218">
        <f>SUM(J174:J180)</f>
        <v>78893707.41000001</v>
      </c>
    </row>
    <row r="183" spans="6:7" ht="13.5" thickBot="1">
      <c r="F183" s="3"/>
      <c r="G183" s="3"/>
    </row>
    <row r="184" spans="6:10" ht="13.5" thickBot="1">
      <c r="F184" s="3"/>
      <c r="G184" s="3"/>
      <c r="H184" t="s">
        <v>169</v>
      </c>
      <c r="I184" s="217">
        <f>F171</f>
        <v>5070587.9</v>
      </c>
      <c r="J184" s="219">
        <f>I171</f>
        <v>4404757.949999999</v>
      </c>
    </row>
    <row r="185" spans="6:7" ht="13.5" thickBot="1">
      <c r="F185" s="3"/>
      <c r="G185" s="3"/>
    </row>
    <row r="186" spans="6:10" ht="13.5" thickBot="1">
      <c r="F186" s="3"/>
      <c r="G186" s="3"/>
      <c r="H186" t="s">
        <v>125</v>
      </c>
      <c r="I186" s="217">
        <f>I182+I184</f>
        <v>95480630.55000001</v>
      </c>
      <c r="J186" s="219">
        <f>J182+J184</f>
        <v>83298465.36000001</v>
      </c>
    </row>
    <row r="187" spans="6:7" ht="12.75">
      <c r="F187" s="3"/>
      <c r="G187" s="3"/>
    </row>
    <row r="188" spans="6:7" ht="12.75">
      <c r="F188" s="3"/>
      <c r="G188" s="3"/>
    </row>
    <row r="189" spans="4:7" ht="12.75">
      <c r="D189" s="3"/>
      <c r="E189" s="3"/>
      <c r="F189" s="3"/>
      <c r="G189" s="3"/>
    </row>
    <row r="190" spans="6:8" ht="12.75">
      <c r="F190" s="3"/>
      <c r="G190" s="3"/>
      <c r="H190">
        <v>72900102.36</v>
      </c>
    </row>
    <row r="191" spans="6:8" ht="12.75">
      <c r="F191" s="3"/>
      <c r="G191" s="3"/>
      <c r="H191" s="3">
        <f>H171-H190</f>
        <v>5993605.050000012</v>
      </c>
    </row>
    <row r="192" spans="6:7" ht="12.75">
      <c r="F192" s="3"/>
      <c r="G192" s="3"/>
    </row>
    <row r="193" spans="6:7" ht="12.75">
      <c r="F193" s="3"/>
      <c r="G193" s="3"/>
    </row>
    <row r="194" spans="6:7" ht="12.75">
      <c r="F194" s="3"/>
      <c r="G194" s="3"/>
    </row>
    <row r="195" spans="6:7" ht="12.75">
      <c r="F195" s="3"/>
      <c r="G195" s="3"/>
    </row>
    <row r="196" spans="6:7" ht="12.75">
      <c r="F196" s="3"/>
      <c r="G196" s="3"/>
    </row>
    <row r="197" spans="6:7" ht="12.75">
      <c r="F197" s="3"/>
      <c r="G197" s="3"/>
    </row>
    <row r="198" spans="6:7" ht="12.75">
      <c r="F198" s="3"/>
      <c r="G198" s="3"/>
    </row>
    <row r="199" spans="6:7" ht="12.75">
      <c r="F199" s="3"/>
      <c r="G199" s="3"/>
    </row>
    <row r="200" spans="6:7" ht="12.75">
      <c r="F200" s="3"/>
      <c r="G200" s="3"/>
    </row>
    <row r="201" spans="6:7" ht="12.75">
      <c r="F201" s="3"/>
      <c r="G201" s="3"/>
    </row>
    <row r="202" spans="6:7" ht="12.75">
      <c r="F202" s="3"/>
      <c r="G202" s="3"/>
    </row>
    <row r="203" spans="6:7" ht="12.75">
      <c r="F203" s="3"/>
      <c r="G203" s="3"/>
    </row>
    <row r="204" spans="6:7" ht="12.75">
      <c r="F204" s="3"/>
      <c r="G204" s="3"/>
    </row>
    <row r="205" spans="6:7" ht="12.75">
      <c r="F205" s="3"/>
      <c r="G205" s="3"/>
    </row>
    <row r="206" spans="6:7" ht="12.75">
      <c r="F206" s="3"/>
      <c r="G206" s="3"/>
    </row>
    <row r="207" spans="6:7" ht="12.75">
      <c r="F207" s="3"/>
      <c r="G207" s="3"/>
    </row>
    <row r="208" spans="6:7" ht="12.75">
      <c r="F208" s="3"/>
      <c r="G208" s="3"/>
    </row>
    <row r="209" spans="6:7" ht="12.75">
      <c r="F209" s="3"/>
      <c r="G209" s="3"/>
    </row>
    <row r="210" spans="6:7" ht="12.75">
      <c r="F210" s="3"/>
      <c r="G210" s="3"/>
    </row>
    <row r="211" spans="6:7" ht="12.75">
      <c r="F211" s="3"/>
      <c r="G211" s="3"/>
    </row>
    <row r="212" spans="6:7" ht="12.75">
      <c r="F212" s="3"/>
      <c r="G212" s="3"/>
    </row>
    <row r="213" spans="6:7" ht="12.75">
      <c r="F213" s="3"/>
      <c r="G213" s="3"/>
    </row>
    <row r="214" spans="6:7" ht="12.75">
      <c r="F214" s="3"/>
      <c r="G214" s="3"/>
    </row>
    <row r="215" spans="6:7" ht="12.75">
      <c r="F215" s="3"/>
      <c r="G215" s="3"/>
    </row>
    <row r="216" spans="6:7" ht="12.75">
      <c r="F216" s="3"/>
      <c r="G216" s="3"/>
    </row>
    <row r="217" spans="6:7" ht="12.75">
      <c r="F217" s="3"/>
      <c r="G217" s="3"/>
    </row>
    <row r="218" spans="6:7" ht="12.75">
      <c r="F218" s="3"/>
      <c r="G218" s="3"/>
    </row>
    <row r="219" spans="6:7" ht="12.75">
      <c r="F219" s="3"/>
      <c r="G219" s="3"/>
    </row>
    <row r="220" spans="6:7" ht="12.75">
      <c r="F220" s="3"/>
      <c r="G220" s="3"/>
    </row>
    <row r="221" spans="6:7" ht="12.75">
      <c r="F221" s="3"/>
      <c r="G221" s="3"/>
    </row>
    <row r="222" spans="6:7" ht="12.75">
      <c r="F222" s="3"/>
      <c r="G222" s="3"/>
    </row>
    <row r="223" spans="6:7" ht="12.75">
      <c r="F223" s="3"/>
      <c r="G223" s="3"/>
    </row>
    <row r="224" spans="6:7" ht="12.75">
      <c r="F224" s="3"/>
      <c r="G224" s="3"/>
    </row>
    <row r="225" spans="6:7" ht="12.75">
      <c r="F225" s="3"/>
      <c r="G225" s="3"/>
    </row>
    <row r="226" spans="6:7" ht="12.75">
      <c r="F226" s="3"/>
      <c r="G226" s="3"/>
    </row>
    <row r="227" spans="6:7" ht="12.75">
      <c r="F227" s="3"/>
      <c r="G227" s="3"/>
    </row>
    <row r="228" spans="6:7" ht="12.75">
      <c r="F228" s="3"/>
      <c r="G228" s="3"/>
    </row>
    <row r="229" spans="6:7" ht="12.75">
      <c r="F229" s="3"/>
      <c r="G229" s="3"/>
    </row>
    <row r="230" spans="6:7" ht="12.75">
      <c r="F230" s="3"/>
      <c r="G230" s="3"/>
    </row>
    <row r="231" spans="6:7" ht="12.75">
      <c r="F231" s="3"/>
      <c r="G231" s="3"/>
    </row>
    <row r="232" spans="6:7" ht="12.75">
      <c r="F232" s="3"/>
      <c r="G232" s="3"/>
    </row>
    <row r="233" spans="6:7" ht="12.75">
      <c r="F233" s="3"/>
      <c r="G233" s="3"/>
    </row>
    <row r="234" spans="6:7" ht="12.75">
      <c r="F234" s="3"/>
      <c r="G234" s="3"/>
    </row>
    <row r="235" spans="6:7" ht="12.75">
      <c r="F235" s="3"/>
      <c r="G235" s="3"/>
    </row>
    <row r="236" spans="6:7" ht="12.75">
      <c r="F236" s="3"/>
      <c r="G236" s="3"/>
    </row>
    <row r="237" spans="6:7" ht="12.75">
      <c r="F237" s="3"/>
      <c r="G237" s="3"/>
    </row>
    <row r="238" spans="6:7" ht="12.75">
      <c r="F238" s="3"/>
      <c r="G238" s="3"/>
    </row>
    <row r="239" spans="6:7" ht="12.75">
      <c r="F239" s="3"/>
      <c r="G239" s="3"/>
    </row>
    <row r="240" spans="6:7" ht="12.75">
      <c r="F240" s="3"/>
      <c r="G240" s="3"/>
    </row>
    <row r="241" spans="6:7" ht="12.75">
      <c r="F241" s="3"/>
      <c r="G241" s="3"/>
    </row>
    <row r="242" spans="6:7" ht="12.75">
      <c r="F242" s="3"/>
      <c r="G242" s="3"/>
    </row>
    <row r="243" spans="6:7" ht="12.75">
      <c r="F243" s="3"/>
      <c r="G243" s="3"/>
    </row>
    <row r="244" spans="6:7" ht="12.75">
      <c r="F244" s="3"/>
      <c r="G244" s="3"/>
    </row>
    <row r="245" spans="6:7" ht="12.75">
      <c r="F245" s="3"/>
      <c r="G245" s="3"/>
    </row>
    <row r="246" spans="6:7" ht="12.75">
      <c r="F246" s="3"/>
      <c r="G246" s="3"/>
    </row>
    <row r="247" spans="6:7" ht="12.75">
      <c r="F247" s="3"/>
      <c r="G247" s="3"/>
    </row>
    <row r="248" spans="6:7" ht="12.75">
      <c r="F248" s="3"/>
      <c r="G248" s="3"/>
    </row>
    <row r="249" spans="6:7" ht="12.75">
      <c r="F249" s="3"/>
      <c r="G249" s="3"/>
    </row>
    <row r="250" spans="6:7" ht="12.75">
      <c r="F250" s="3"/>
      <c r="G250" s="3"/>
    </row>
    <row r="251" spans="6:7" ht="12.75">
      <c r="F251" s="3"/>
      <c r="G251" s="3"/>
    </row>
    <row r="252" spans="6:7" ht="12.75">
      <c r="F252" s="3"/>
      <c r="G252" s="3"/>
    </row>
    <row r="253" spans="6:7" ht="12.75">
      <c r="F253" s="3"/>
      <c r="G253" s="3"/>
    </row>
    <row r="254" spans="6:7" ht="12.75">
      <c r="F254" s="3"/>
      <c r="G254" s="3"/>
    </row>
    <row r="255" spans="6:7" ht="12.75">
      <c r="F255" s="3"/>
      <c r="G255" s="3"/>
    </row>
    <row r="256" spans="6:7" ht="12.75">
      <c r="F256" s="3"/>
      <c r="G256" s="3"/>
    </row>
    <row r="257" spans="6:7" ht="12.75">
      <c r="F257" s="3"/>
      <c r="G257" s="3"/>
    </row>
    <row r="258" spans="6:7" ht="12.75">
      <c r="F258" s="3"/>
      <c r="G258" s="3"/>
    </row>
    <row r="259" spans="6:7" ht="12.75">
      <c r="F259" s="3"/>
      <c r="G259" s="3"/>
    </row>
    <row r="260" spans="6:7" ht="12.75">
      <c r="F260" s="3"/>
      <c r="G260" s="3"/>
    </row>
    <row r="261" spans="6:7" ht="12.75">
      <c r="F261" s="3"/>
      <c r="G261" s="3"/>
    </row>
    <row r="262" spans="6:7" ht="12.75">
      <c r="F262" s="3"/>
      <c r="G262" s="3"/>
    </row>
    <row r="263" spans="6:7" ht="12.75">
      <c r="F263" s="3"/>
      <c r="G263" s="3"/>
    </row>
    <row r="264" spans="6:7" ht="12.75">
      <c r="F264" s="3"/>
      <c r="G264" s="3"/>
    </row>
    <row r="265" spans="6:7" ht="12.75">
      <c r="F265" s="3"/>
      <c r="G265" s="3"/>
    </row>
    <row r="266" spans="6:7" ht="12.75">
      <c r="F266" s="3"/>
      <c r="G266" s="3"/>
    </row>
    <row r="267" spans="6:7" ht="12.75">
      <c r="F267" s="3"/>
      <c r="G267" s="3"/>
    </row>
    <row r="268" spans="6:7" ht="12.75">
      <c r="F268" s="3"/>
      <c r="G268" s="3"/>
    </row>
    <row r="269" spans="6:7" ht="12.75">
      <c r="F269" s="3"/>
      <c r="G269" s="3"/>
    </row>
    <row r="270" spans="6:7" ht="12.75">
      <c r="F270" s="3"/>
      <c r="G270" s="3"/>
    </row>
    <row r="271" spans="6:7" ht="12.75">
      <c r="F271" s="3"/>
      <c r="G271" s="3"/>
    </row>
    <row r="272" spans="6:7" ht="12.75">
      <c r="F272" s="3"/>
      <c r="G272" s="3"/>
    </row>
    <row r="273" spans="6:7" ht="12.75">
      <c r="F273" s="3"/>
      <c r="G273" s="3"/>
    </row>
    <row r="274" spans="6:7" ht="12.75">
      <c r="F274" s="3"/>
      <c r="G274" s="3"/>
    </row>
    <row r="275" spans="6:7" ht="12.75">
      <c r="F275" s="3"/>
      <c r="G275" s="3"/>
    </row>
    <row r="276" spans="6:7" ht="12.75">
      <c r="F276" s="3"/>
      <c r="G276" s="3"/>
    </row>
    <row r="277" spans="6:7" ht="12.75">
      <c r="F277" s="3"/>
      <c r="G277" s="3"/>
    </row>
    <row r="278" spans="6:7" ht="12.75">
      <c r="F278" s="3"/>
      <c r="G278" s="3"/>
    </row>
    <row r="279" spans="6:7" ht="12.75">
      <c r="F279" s="3"/>
      <c r="G279" s="3"/>
    </row>
    <row r="280" spans="6:7" ht="12.75">
      <c r="F280" s="3"/>
      <c r="G280" s="3"/>
    </row>
    <row r="281" spans="6:7" ht="12.75">
      <c r="F281" s="3"/>
      <c r="G281" s="3"/>
    </row>
    <row r="282" spans="6:7" ht="12.75">
      <c r="F282" s="3"/>
      <c r="G282" s="3"/>
    </row>
    <row r="283" spans="6:7" ht="12.75">
      <c r="F283" s="3"/>
      <c r="G283" s="3"/>
    </row>
    <row r="284" spans="6:7" ht="12.75">
      <c r="F284" s="3"/>
      <c r="G284" s="3"/>
    </row>
    <row r="285" spans="6:7" ht="12.75">
      <c r="F285" s="3"/>
      <c r="G285" s="3"/>
    </row>
    <row r="286" spans="6:7" ht="12.75">
      <c r="F286" s="3"/>
      <c r="G286" s="3"/>
    </row>
    <row r="287" spans="6:7" ht="12.75">
      <c r="F287" s="3"/>
      <c r="G287" s="3"/>
    </row>
    <row r="288" spans="6:7" ht="12.75">
      <c r="F288" s="3"/>
      <c r="G288" s="3"/>
    </row>
    <row r="289" spans="6:7" ht="12.75">
      <c r="F289" s="3"/>
      <c r="G289" s="3"/>
    </row>
    <row r="290" spans="6:7" ht="12.75">
      <c r="F290" s="3"/>
      <c r="G290" s="3"/>
    </row>
    <row r="291" spans="6:7" ht="12.75">
      <c r="F291" s="3"/>
      <c r="G291" s="3"/>
    </row>
    <row r="292" spans="6:7" ht="12.75">
      <c r="F292" s="3"/>
      <c r="G292" s="3"/>
    </row>
    <row r="293" spans="6:7" ht="12.75">
      <c r="F293" s="3"/>
      <c r="G293" s="3"/>
    </row>
    <row r="294" spans="6:7" ht="12.75">
      <c r="F294" s="3"/>
      <c r="G294" s="3"/>
    </row>
    <row r="295" spans="6:7" ht="12.75">
      <c r="F295" s="3"/>
      <c r="G295" s="3"/>
    </row>
    <row r="296" spans="6:7" ht="12.75">
      <c r="F296" s="3"/>
      <c r="G296" s="3"/>
    </row>
    <row r="297" spans="6:7" ht="12.75">
      <c r="F297" s="3"/>
      <c r="G297" s="3"/>
    </row>
    <row r="298" spans="6:7" ht="12.75">
      <c r="F298" s="3"/>
      <c r="G298" s="3"/>
    </row>
    <row r="299" spans="6:7" ht="12.75">
      <c r="F299" s="3"/>
      <c r="G299" s="3"/>
    </row>
    <row r="300" spans="6:7" ht="12.75">
      <c r="F300" s="3"/>
      <c r="G300" s="3"/>
    </row>
    <row r="301" spans="6:7" ht="12.75">
      <c r="F301" s="3"/>
      <c r="G301" s="3"/>
    </row>
    <row r="302" spans="6:7" ht="12.75">
      <c r="F302" s="3"/>
      <c r="G302" s="3"/>
    </row>
    <row r="303" spans="6:7" ht="12.75">
      <c r="F303" s="3"/>
      <c r="G303" s="3"/>
    </row>
    <row r="304" spans="6:7" ht="12.75">
      <c r="F304" s="3"/>
      <c r="G304" s="3"/>
    </row>
    <row r="305" spans="6:7" ht="12.75">
      <c r="F305" s="3"/>
      <c r="G305" s="3"/>
    </row>
    <row r="306" spans="6:7" ht="12.75">
      <c r="F306" s="3"/>
      <c r="G306" s="3"/>
    </row>
    <row r="307" spans="6:7" ht="12.75">
      <c r="F307" s="3"/>
      <c r="G307" s="3"/>
    </row>
    <row r="308" spans="6:7" ht="12.75">
      <c r="F308" s="3"/>
      <c r="G308" s="3"/>
    </row>
    <row r="309" spans="6:7" ht="12.75">
      <c r="F309" s="3"/>
      <c r="G309" s="3"/>
    </row>
    <row r="310" spans="6:7" ht="12.75">
      <c r="F310" s="3"/>
      <c r="G310" s="3"/>
    </row>
    <row r="311" spans="6:7" ht="12.75">
      <c r="F311" s="3"/>
      <c r="G311" s="3"/>
    </row>
    <row r="312" spans="6:7" ht="12.75">
      <c r="F312" s="3"/>
      <c r="G312" s="3"/>
    </row>
    <row r="313" spans="6:7" ht="12.75">
      <c r="F313" s="3"/>
      <c r="G313" s="3"/>
    </row>
    <row r="314" spans="6:7" ht="12.75">
      <c r="F314" s="3"/>
      <c r="G314" s="3"/>
    </row>
    <row r="315" spans="6:7" ht="12.75">
      <c r="F315" s="3"/>
      <c r="G315" s="3"/>
    </row>
    <row r="316" spans="6:7" ht="12.75">
      <c r="F316" s="3"/>
      <c r="G316" s="3"/>
    </row>
    <row r="317" spans="6:7" ht="12.75">
      <c r="F317" s="3"/>
      <c r="G317" s="3"/>
    </row>
    <row r="318" spans="6:7" ht="12.75">
      <c r="F318" s="3"/>
      <c r="G318" s="3"/>
    </row>
    <row r="319" spans="6:7" ht="12.75">
      <c r="F319" s="3"/>
      <c r="G319" s="3"/>
    </row>
    <row r="320" spans="6:7" ht="12.75">
      <c r="F320" s="3"/>
      <c r="G320" s="3"/>
    </row>
    <row r="321" spans="6:7" ht="12.75">
      <c r="F321" s="3"/>
      <c r="G321" s="3"/>
    </row>
    <row r="322" spans="6:7" ht="12.75">
      <c r="F322" s="3"/>
      <c r="G322" s="3"/>
    </row>
    <row r="323" spans="6:7" ht="12.75">
      <c r="F323" s="3"/>
      <c r="G323" s="3"/>
    </row>
    <row r="324" spans="6:7" ht="12.75">
      <c r="F324" s="3"/>
      <c r="G324" s="3"/>
    </row>
    <row r="325" spans="6:7" ht="12.75">
      <c r="F325" s="3"/>
      <c r="G325" s="3"/>
    </row>
    <row r="326" spans="6:7" ht="12.75">
      <c r="F326" s="3"/>
      <c r="G326" s="3"/>
    </row>
    <row r="327" spans="6:7" ht="12.75">
      <c r="F327" s="3"/>
      <c r="G327" s="3"/>
    </row>
    <row r="328" spans="6:7" ht="12.75">
      <c r="F328" s="3"/>
      <c r="G328" s="3"/>
    </row>
    <row r="329" spans="6:7" ht="12.75">
      <c r="F329" s="3"/>
      <c r="G329" s="3"/>
    </row>
    <row r="330" spans="6:7" ht="12.75">
      <c r="F330" s="3"/>
      <c r="G330" s="3"/>
    </row>
    <row r="331" spans="6:7" ht="12.75">
      <c r="F331" s="3"/>
      <c r="G331" s="3"/>
    </row>
    <row r="332" spans="6:7" ht="12.75">
      <c r="F332" s="3"/>
      <c r="G332" s="3"/>
    </row>
    <row r="333" spans="6:7" ht="12.75">
      <c r="F333" s="3"/>
      <c r="G333" s="3"/>
    </row>
    <row r="334" spans="6:7" ht="12.75">
      <c r="F334" s="3"/>
      <c r="G334" s="3"/>
    </row>
    <row r="335" spans="6:7" ht="12.75">
      <c r="F335" s="3"/>
      <c r="G335" s="3"/>
    </row>
    <row r="336" spans="6:7" ht="12.75">
      <c r="F336" s="3"/>
      <c r="G336" s="3"/>
    </row>
    <row r="337" spans="6:7" ht="12.75">
      <c r="F337" s="3"/>
      <c r="G337" s="3"/>
    </row>
    <row r="338" spans="6:7" ht="12.75">
      <c r="F338" s="3"/>
      <c r="G338" s="3"/>
    </row>
    <row r="339" spans="6:7" ht="12.75">
      <c r="F339" s="3"/>
      <c r="G339" s="3"/>
    </row>
    <row r="340" spans="6:7" ht="12.75">
      <c r="F340" s="3"/>
      <c r="G340" s="3"/>
    </row>
    <row r="341" spans="6:7" ht="12.75">
      <c r="F341" s="3"/>
      <c r="G341" s="3"/>
    </row>
    <row r="342" spans="6:7" ht="12.75">
      <c r="F342" s="3"/>
      <c r="G342" s="3"/>
    </row>
    <row r="343" spans="6:7" ht="12.75">
      <c r="F343" s="3"/>
      <c r="G343" s="3"/>
    </row>
    <row r="344" spans="6:7" ht="12.75">
      <c r="F344" s="3"/>
      <c r="G344" s="3"/>
    </row>
    <row r="345" spans="6:7" ht="12.75">
      <c r="F345" s="3"/>
      <c r="G345" s="3"/>
    </row>
    <row r="346" spans="6:7" ht="12.75">
      <c r="F346" s="3"/>
      <c r="G346" s="3"/>
    </row>
    <row r="347" spans="6:7" ht="12.75">
      <c r="F347" s="3"/>
      <c r="G347" s="3"/>
    </row>
    <row r="348" spans="6:7" ht="12.75">
      <c r="F348" s="3"/>
      <c r="G348" s="3"/>
    </row>
    <row r="349" spans="6:7" ht="12.75">
      <c r="F349" s="3"/>
      <c r="G349" s="3"/>
    </row>
    <row r="350" spans="6:7" ht="12.75">
      <c r="F350" s="3"/>
      <c r="G350" s="3"/>
    </row>
    <row r="351" spans="6:7" ht="12.75">
      <c r="F351" s="3"/>
      <c r="G351" s="3"/>
    </row>
    <row r="352" spans="6:7" ht="12.75">
      <c r="F352" s="3"/>
      <c r="G352" s="3"/>
    </row>
    <row r="353" spans="6:7" ht="12.75">
      <c r="F353" s="3"/>
      <c r="G353" s="3"/>
    </row>
    <row r="354" spans="6:7" ht="12.75">
      <c r="F354" s="3"/>
      <c r="G354" s="3"/>
    </row>
    <row r="355" spans="6:7" ht="12.75">
      <c r="F355" s="3"/>
      <c r="G355" s="3"/>
    </row>
    <row r="356" spans="6:7" ht="12.75">
      <c r="F356" s="3"/>
      <c r="G356" s="3"/>
    </row>
    <row r="357" spans="6:7" ht="12.75">
      <c r="F357" s="3"/>
      <c r="G357" s="3"/>
    </row>
    <row r="358" spans="6:7" ht="12.75">
      <c r="F358" s="3"/>
      <c r="G358" s="3"/>
    </row>
    <row r="359" spans="6:7" ht="12.75">
      <c r="F359" s="3"/>
      <c r="G359" s="3"/>
    </row>
    <row r="360" spans="6:7" ht="12.75">
      <c r="F360" s="3"/>
      <c r="G360" s="3"/>
    </row>
    <row r="361" spans="6:7" ht="12.75">
      <c r="F361" s="3"/>
      <c r="G361" s="3"/>
    </row>
    <row r="362" spans="6:7" ht="12.75">
      <c r="F362" s="3"/>
      <c r="G362" s="3"/>
    </row>
    <row r="363" spans="6:7" ht="12.75">
      <c r="F363" s="3"/>
      <c r="G363" s="3"/>
    </row>
    <row r="364" spans="6:7" ht="12.75">
      <c r="F364" s="3"/>
      <c r="G364" s="3"/>
    </row>
    <row r="365" spans="6:7" ht="12.75">
      <c r="F365" s="3"/>
      <c r="G365" s="3"/>
    </row>
    <row r="366" spans="6:7" ht="12.75">
      <c r="F366" s="3"/>
      <c r="G366" s="3"/>
    </row>
    <row r="367" spans="6:7" ht="12.75">
      <c r="F367" s="3"/>
      <c r="G367" s="3"/>
    </row>
    <row r="368" spans="6:7" ht="12.75">
      <c r="F368" s="3"/>
      <c r="G368" s="3"/>
    </row>
    <row r="369" spans="6:7" ht="12.75">
      <c r="F369" s="3"/>
      <c r="G369" s="3"/>
    </row>
    <row r="370" spans="6:7" ht="12.75">
      <c r="F370" s="3"/>
      <c r="G370" s="3"/>
    </row>
    <row r="371" spans="6:7" ht="12.75">
      <c r="F371" s="3"/>
      <c r="G371" s="3"/>
    </row>
    <row r="372" spans="6:7" ht="12.75">
      <c r="F372" s="3"/>
      <c r="G372" s="3"/>
    </row>
    <row r="373" spans="6:7" ht="12.75">
      <c r="F373" s="3"/>
      <c r="G373" s="3"/>
    </row>
    <row r="374" spans="6:7" ht="12.75">
      <c r="F374" s="3"/>
      <c r="G374" s="3"/>
    </row>
    <row r="375" spans="6:7" ht="12.75">
      <c r="F375" s="3"/>
      <c r="G375" s="3"/>
    </row>
    <row r="376" spans="6:7" ht="12.75">
      <c r="F376" s="3"/>
      <c r="G376" s="3"/>
    </row>
    <row r="377" spans="6:7" ht="12.75">
      <c r="F377" s="3"/>
      <c r="G377" s="3"/>
    </row>
    <row r="378" spans="6:7" ht="12.75">
      <c r="F378" s="3"/>
      <c r="G378" s="3"/>
    </row>
    <row r="379" spans="6:7" ht="12.75">
      <c r="F379" s="3"/>
      <c r="G379" s="3"/>
    </row>
    <row r="380" spans="6:7" ht="12.75">
      <c r="F380" s="3"/>
      <c r="G380" s="3"/>
    </row>
    <row r="381" spans="6:7" ht="12.75">
      <c r="F381" s="3"/>
      <c r="G381" s="3"/>
    </row>
    <row r="382" spans="6:7" ht="12.75">
      <c r="F382" s="3"/>
      <c r="G382" s="3"/>
    </row>
    <row r="383" spans="6:7" ht="12.75">
      <c r="F383" s="3"/>
      <c r="G383" s="3"/>
    </row>
    <row r="384" spans="6:7" ht="12.75">
      <c r="F384" s="3"/>
      <c r="G384" s="3"/>
    </row>
    <row r="385" spans="6:7" ht="12.75">
      <c r="F385" s="3"/>
      <c r="G385" s="3"/>
    </row>
    <row r="386" spans="6:7" ht="12.75">
      <c r="F386" s="3"/>
      <c r="G386" s="3"/>
    </row>
    <row r="387" spans="6:7" ht="12.75">
      <c r="F387" s="3"/>
      <c r="G387" s="3"/>
    </row>
    <row r="388" spans="6:7" ht="12.75">
      <c r="F388" s="3"/>
      <c r="G388" s="3"/>
    </row>
    <row r="389" spans="6:7" ht="12.75">
      <c r="F389" s="3"/>
      <c r="G389" s="3"/>
    </row>
    <row r="390" spans="6:7" ht="12.75">
      <c r="F390" s="3"/>
      <c r="G390" s="3"/>
    </row>
    <row r="391" spans="6:7" ht="12.75">
      <c r="F391" s="3"/>
      <c r="G391" s="3"/>
    </row>
    <row r="392" spans="6:7" ht="12.75">
      <c r="F392" s="3"/>
      <c r="G392" s="3"/>
    </row>
    <row r="393" spans="6:7" ht="12.75">
      <c r="F393" s="3"/>
      <c r="G393" s="3"/>
    </row>
    <row r="394" spans="6:7" ht="12.75">
      <c r="F394" s="3"/>
      <c r="G394" s="3"/>
    </row>
    <row r="395" spans="6:7" ht="12.75">
      <c r="F395" s="3"/>
      <c r="G395" s="3"/>
    </row>
    <row r="396" spans="6:7" ht="12.75">
      <c r="F396" s="3"/>
      <c r="G396" s="3"/>
    </row>
    <row r="397" spans="6:7" ht="12.75">
      <c r="F397" s="3"/>
      <c r="G397" s="3"/>
    </row>
    <row r="398" spans="6:7" ht="12.75">
      <c r="F398" s="3"/>
      <c r="G398" s="3"/>
    </row>
    <row r="399" spans="6:7" ht="12.75">
      <c r="F399" s="3"/>
      <c r="G399" s="3"/>
    </row>
    <row r="400" spans="6:7" ht="12.75">
      <c r="F400" s="3"/>
      <c r="G400" s="3"/>
    </row>
    <row r="401" spans="6:7" ht="12.75">
      <c r="F401" s="3"/>
      <c r="G401" s="3"/>
    </row>
    <row r="402" spans="6:7" ht="12.75">
      <c r="F402" s="3"/>
      <c r="G402" s="3"/>
    </row>
    <row r="403" spans="6:7" ht="12.75">
      <c r="F403" s="3"/>
      <c r="G403" s="3"/>
    </row>
    <row r="404" spans="6:7" ht="12.75">
      <c r="F404" s="3"/>
      <c r="G404" s="3"/>
    </row>
    <row r="405" spans="6:7" ht="12.75">
      <c r="F405" s="3"/>
      <c r="G405" s="3"/>
    </row>
    <row r="406" spans="6:7" ht="12.75">
      <c r="F406" s="3"/>
      <c r="G406" s="3"/>
    </row>
    <row r="407" spans="6:7" ht="12.75">
      <c r="F407" s="3"/>
      <c r="G407" s="3"/>
    </row>
    <row r="408" spans="6:7" ht="12.75">
      <c r="F408" s="3"/>
      <c r="G408" s="3"/>
    </row>
    <row r="409" spans="6:7" ht="12.75">
      <c r="F409" s="3"/>
      <c r="G409" s="3"/>
    </row>
    <row r="410" spans="6:7" ht="12.75">
      <c r="F410" s="3"/>
      <c r="G410" s="3"/>
    </row>
    <row r="411" spans="6:7" ht="12.75">
      <c r="F411" s="3"/>
      <c r="G411" s="3"/>
    </row>
    <row r="412" spans="6:7" ht="12.75">
      <c r="F412" s="3"/>
      <c r="G412" s="3"/>
    </row>
    <row r="413" spans="6:7" ht="12.75">
      <c r="F413" s="3"/>
      <c r="G413" s="3"/>
    </row>
    <row r="414" spans="6:7" ht="12.75">
      <c r="F414" s="3"/>
      <c r="G414" s="3"/>
    </row>
    <row r="415" spans="6:7" ht="12.75">
      <c r="F415" s="3"/>
      <c r="G415" s="3"/>
    </row>
    <row r="416" spans="6:7" ht="12.75">
      <c r="F416" s="3"/>
      <c r="G416" s="3"/>
    </row>
    <row r="417" spans="6:7" ht="12.75">
      <c r="F417" s="3"/>
      <c r="G417" s="3"/>
    </row>
    <row r="418" spans="6:7" ht="12.75">
      <c r="F418" s="3"/>
      <c r="G418" s="3"/>
    </row>
    <row r="419" spans="6:7" ht="12.75">
      <c r="F419" s="3"/>
      <c r="G419" s="3"/>
    </row>
    <row r="420" spans="6:7" ht="12.75">
      <c r="F420" s="3"/>
      <c r="G420" s="3"/>
    </row>
    <row r="421" spans="6:7" ht="12.75">
      <c r="F421" s="3"/>
      <c r="G421" s="3"/>
    </row>
    <row r="422" spans="6:7" ht="12.75">
      <c r="F422" s="3"/>
      <c r="G422" s="3"/>
    </row>
    <row r="423" spans="6:7" ht="12.75">
      <c r="F423" s="3"/>
      <c r="G423" s="3"/>
    </row>
    <row r="424" spans="6:7" ht="12.75">
      <c r="F424" s="3"/>
      <c r="G424" s="3"/>
    </row>
    <row r="425" spans="6:7" ht="12.75">
      <c r="F425" s="3"/>
      <c r="G425" s="3"/>
    </row>
    <row r="426" spans="6:7" ht="12.75">
      <c r="F426" s="3"/>
      <c r="G426" s="3"/>
    </row>
    <row r="427" spans="6:7" ht="12.75">
      <c r="F427" s="3"/>
      <c r="G427" s="3"/>
    </row>
    <row r="428" spans="6:7" ht="12.75">
      <c r="F428" s="3"/>
      <c r="G428" s="3"/>
    </row>
    <row r="429" spans="6:7" ht="12.75">
      <c r="F429" s="3"/>
      <c r="G429" s="3"/>
    </row>
    <row r="430" spans="6:7" ht="12.75">
      <c r="F430" s="3"/>
      <c r="G430" s="3"/>
    </row>
    <row r="431" spans="6:7" ht="12.75">
      <c r="F431" s="3"/>
      <c r="G431" s="3"/>
    </row>
    <row r="432" spans="6:7" ht="12.75">
      <c r="F432" s="3"/>
      <c r="G432" s="3"/>
    </row>
    <row r="433" spans="6:7" ht="12.75">
      <c r="F433" s="3"/>
      <c r="G433" s="3"/>
    </row>
    <row r="434" spans="6:7" ht="12.75">
      <c r="F434" s="3"/>
      <c r="G434" s="3"/>
    </row>
    <row r="435" spans="6:7" ht="12.75">
      <c r="F435" s="3"/>
      <c r="G435" s="3"/>
    </row>
    <row r="436" spans="6:7" ht="12.75">
      <c r="F436" s="3"/>
      <c r="G436" s="3"/>
    </row>
    <row r="437" spans="6:7" ht="12.75">
      <c r="F437" s="3"/>
      <c r="G437" s="3"/>
    </row>
    <row r="438" spans="6:7" ht="12.75">
      <c r="F438" s="3"/>
      <c r="G438" s="3"/>
    </row>
    <row r="439" spans="6:7" ht="12.75">
      <c r="F439" s="3"/>
      <c r="G439" s="3"/>
    </row>
    <row r="440" spans="6:7" ht="12.75">
      <c r="F440" s="3"/>
      <c r="G440" s="3"/>
    </row>
    <row r="441" spans="6:7" ht="12.75">
      <c r="F441" s="3"/>
      <c r="G441" s="3"/>
    </row>
    <row r="442" spans="6:7" ht="12.75">
      <c r="F442" s="3"/>
      <c r="G442" s="3"/>
    </row>
    <row r="443" spans="6:7" ht="12.75">
      <c r="F443" s="3"/>
      <c r="G443" s="3"/>
    </row>
    <row r="444" spans="6:7" ht="12.75">
      <c r="F444" s="3"/>
      <c r="G444" s="3"/>
    </row>
    <row r="445" spans="6:7" ht="12.75">
      <c r="F445" s="3"/>
      <c r="G445" s="3"/>
    </row>
    <row r="446" spans="6:7" ht="12.75">
      <c r="F446" s="3"/>
      <c r="G446" s="3"/>
    </row>
    <row r="447" spans="6:7" ht="12.75">
      <c r="F447" s="3"/>
      <c r="G447" s="3"/>
    </row>
    <row r="448" spans="6:7" ht="12.75">
      <c r="F448" s="3"/>
      <c r="G448" s="3"/>
    </row>
    <row r="449" spans="6:7" ht="12.75">
      <c r="F449" s="3"/>
      <c r="G449" s="3"/>
    </row>
    <row r="450" spans="6:7" ht="12.75">
      <c r="F450" s="3"/>
      <c r="G450" s="3"/>
    </row>
    <row r="451" spans="6:7" ht="12.75">
      <c r="F451" s="3"/>
      <c r="G451" s="3"/>
    </row>
    <row r="452" spans="6:7" ht="12.75">
      <c r="F452" s="3"/>
      <c r="G452" s="3"/>
    </row>
    <row r="453" spans="6:7" ht="12.75">
      <c r="F453" s="3"/>
      <c r="G453" s="3"/>
    </row>
    <row r="454" spans="6:7" ht="12.75">
      <c r="F454" s="3"/>
      <c r="G454" s="3"/>
    </row>
    <row r="455" spans="6:7" ht="12.75">
      <c r="F455" s="3"/>
      <c r="G455" s="3"/>
    </row>
    <row r="456" spans="6:7" ht="12.75">
      <c r="F456" s="3"/>
      <c r="G456" s="3"/>
    </row>
    <row r="457" spans="6:7" ht="12.75">
      <c r="F457" s="3"/>
      <c r="G457" s="3"/>
    </row>
    <row r="458" spans="6:7" ht="12.75">
      <c r="F458" s="3"/>
      <c r="G458" s="3"/>
    </row>
    <row r="459" spans="6:7" ht="12.75">
      <c r="F459" s="3"/>
      <c r="G459" s="3"/>
    </row>
    <row r="460" spans="6:7" ht="12.75">
      <c r="F460" s="3"/>
      <c r="G460" s="3"/>
    </row>
    <row r="461" spans="6:7" ht="12.75">
      <c r="F461" s="3"/>
      <c r="G461" s="3"/>
    </row>
    <row r="462" spans="6:7" ht="12.75">
      <c r="F462" s="3"/>
      <c r="G462" s="3"/>
    </row>
    <row r="463" spans="6:7" ht="12.75">
      <c r="F463" s="3"/>
      <c r="G463" s="3"/>
    </row>
    <row r="464" spans="6:7" ht="12.75">
      <c r="F464" s="3"/>
      <c r="G464" s="3"/>
    </row>
    <row r="465" spans="6:7" ht="12.75">
      <c r="F465" s="3"/>
      <c r="G465" s="3"/>
    </row>
    <row r="466" spans="6:7" ht="12.75">
      <c r="F466" s="3"/>
      <c r="G466" s="3"/>
    </row>
    <row r="467" spans="6:7" ht="12.75">
      <c r="F467" s="3"/>
      <c r="G467" s="3"/>
    </row>
    <row r="468" spans="6:7" ht="12.75">
      <c r="F468" s="3"/>
      <c r="G468" s="3"/>
    </row>
    <row r="469" spans="6:7" ht="12.75">
      <c r="F469" s="3"/>
      <c r="G469" s="3"/>
    </row>
    <row r="470" spans="6:7" ht="12.75">
      <c r="F470" s="3"/>
      <c r="G470" s="3"/>
    </row>
    <row r="471" spans="6:7" ht="12.75">
      <c r="F471" s="3"/>
      <c r="G471" s="3"/>
    </row>
    <row r="472" spans="6:7" ht="12.75">
      <c r="F472" s="3"/>
      <c r="G472" s="3"/>
    </row>
    <row r="473" spans="6:7" ht="12.75">
      <c r="F473" s="3"/>
      <c r="G473" s="3"/>
    </row>
    <row r="474" spans="6:7" ht="12.75">
      <c r="F474" s="3"/>
      <c r="G474" s="3"/>
    </row>
    <row r="475" spans="6:7" ht="12.75">
      <c r="F475" s="3"/>
      <c r="G475" s="3"/>
    </row>
    <row r="476" spans="6:7" ht="12.75">
      <c r="F476" s="3"/>
      <c r="G476" s="3"/>
    </row>
    <row r="477" spans="6:7" ht="12.75">
      <c r="F477" s="3"/>
      <c r="G477" s="3"/>
    </row>
    <row r="478" spans="6:7" ht="12.75">
      <c r="F478" s="3"/>
      <c r="G478" s="3"/>
    </row>
    <row r="479" spans="6:7" ht="12.75">
      <c r="F479" s="3"/>
      <c r="G479" s="3"/>
    </row>
    <row r="480" spans="6:7" ht="12.75">
      <c r="F480" s="3"/>
      <c r="G480" s="3"/>
    </row>
    <row r="481" spans="6:7" ht="12.75">
      <c r="F481" s="3"/>
      <c r="G481" s="3"/>
    </row>
    <row r="482" spans="6:7" ht="12.75">
      <c r="F482" s="3"/>
      <c r="G482" s="3"/>
    </row>
    <row r="483" spans="6:7" ht="12.75">
      <c r="F483" s="3"/>
      <c r="G483" s="3"/>
    </row>
    <row r="484" spans="6:7" ht="12.75">
      <c r="F484" s="3"/>
      <c r="G484" s="3"/>
    </row>
    <row r="485" spans="6:7" ht="12.75">
      <c r="F485" s="3"/>
      <c r="G485" s="3"/>
    </row>
    <row r="486" spans="6:7" ht="12.75">
      <c r="F486" s="3"/>
      <c r="G486" s="3"/>
    </row>
    <row r="487" spans="6:7" ht="12.75">
      <c r="F487" s="3"/>
      <c r="G487" s="3"/>
    </row>
    <row r="488" spans="6:7" ht="12.75">
      <c r="F488" s="3"/>
      <c r="G488" s="3"/>
    </row>
    <row r="489" spans="6:7" ht="12.75">
      <c r="F489" s="3"/>
      <c r="G489" s="3"/>
    </row>
    <row r="490" spans="6:7" ht="12.75">
      <c r="F490" s="3"/>
      <c r="G490" s="3"/>
    </row>
    <row r="491" spans="6:7" ht="12.75">
      <c r="F491" s="3"/>
      <c r="G491" s="3"/>
    </row>
    <row r="492" spans="6:7" ht="12.75">
      <c r="F492" s="3"/>
      <c r="G492" s="3"/>
    </row>
    <row r="493" spans="6:7" ht="12.75">
      <c r="F493" s="3"/>
      <c r="G493" s="3"/>
    </row>
    <row r="494" spans="6:7" ht="12.75">
      <c r="F494" s="3"/>
      <c r="G494" s="3"/>
    </row>
    <row r="495" spans="6:7" ht="12.75">
      <c r="F495" s="3"/>
      <c r="G495" s="3"/>
    </row>
    <row r="496" spans="6:7" ht="12.75">
      <c r="F496" s="3"/>
      <c r="G496" s="3"/>
    </row>
    <row r="497" spans="6:7" ht="12.75">
      <c r="F497" s="3"/>
      <c r="G497" s="3"/>
    </row>
    <row r="498" spans="6:7" ht="12.75">
      <c r="F498" s="3"/>
      <c r="G498" s="3"/>
    </row>
    <row r="499" spans="6:7" ht="12.75">
      <c r="F499" s="3"/>
      <c r="G499" s="3"/>
    </row>
    <row r="500" spans="6:7" ht="12.75">
      <c r="F500" s="3"/>
      <c r="G500" s="3"/>
    </row>
    <row r="501" spans="6:7" ht="12.75">
      <c r="F501" s="3"/>
      <c r="G501" s="3"/>
    </row>
    <row r="502" spans="6:7" ht="12.75">
      <c r="F502" s="3"/>
      <c r="G502" s="3"/>
    </row>
    <row r="503" spans="6:7" ht="12.75">
      <c r="F503" s="3"/>
      <c r="G503" s="3"/>
    </row>
    <row r="504" spans="6:7" ht="12.75">
      <c r="F504" s="3"/>
      <c r="G504" s="3"/>
    </row>
    <row r="505" spans="6:7" ht="12.75">
      <c r="F505" s="3"/>
      <c r="G505" s="3"/>
    </row>
    <row r="506" spans="6:7" ht="12.75">
      <c r="F506" s="3"/>
      <c r="G506" s="3"/>
    </row>
    <row r="507" spans="6:7" ht="12.75">
      <c r="F507" s="3"/>
      <c r="G507" s="3"/>
    </row>
    <row r="508" spans="6:7" ht="12.75">
      <c r="F508" s="3"/>
      <c r="G508" s="3"/>
    </row>
    <row r="509" spans="6:7" ht="12.75">
      <c r="F509" s="3"/>
      <c r="G509" s="3"/>
    </row>
    <row r="510" spans="6:7" ht="12.75">
      <c r="F510" s="3"/>
      <c r="G510" s="3"/>
    </row>
    <row r="511" spans="6:7" ht="12.75">
      <c r="F511" s="3"/>
      <c r="G511" s="3"/>
    </row>
    <row r="512" spans="6:7" ht="12.75">
      <c r="F512" s="3"/>
      <c r="G512" s="3"/>
    </row>
    <row r="513" spans="6:7" ht="12.75">
      <c r="F513" s="3"/>
      <c r="G513" s="3"/>
    </row>
    <row r="514" spans="6:7" ht="12.75">
      <c r="F514" s="3"/>
      <c r="G514" s="3"/>
    </row>
    <row r="515" spans="6:7" ht="12.75">
      <c r="F515" s="3"/>
      <c r="G515" s="3"/>
    </row>
    <row r="516" spans="6:7" ht="12.75">
      <c r="F516" s="3"/>
      <c r="G516" s="3"/>
    </row>
    <row r="517" spans="6:7" ht="12.75">
      <c r="F517" s="3"/>
      <c r="G517" s="3"/>
    </row>
    <row r="518" spans="6:7" ht="12.75">
      <c r="F518" s="3"/>
      <c r="G518" s="3"/>
    </row>
    <row r="519" spans="6:7" ht="12.75">
      <c r="F519" s="3"/>
      <c r="G519" s="3"/>
    </row>
    <row r="520" spans="6:7" ht="12.75">
      <c r="F520" s="3"/>
      <c r="G520" s="3"/>
    </row>
    <row r="521" spans="6:7" ht="12.75">
      <c r="F521" s="3"/>
      <c r="G521" s="3"/>
    </row>
    <row r="522" spans="6:7" ht="12.75">
      <c r="F522" s="3"/>
      <c r="G522" s="3"/>
    </row>
    <row r="523" spans="6:7" ht="12.75">
      <c r="F523" s="3"/>
      <c r="G523" s="3"/>
    </row>
    <row r="524" spans="6:7" ht="12.75">
      <c r="F524" s="3"/>
      <c r="G524" s="3"/>
    </row>
    <row r="525" spans="6:7" ht="12.75">
      <c r="F525" s="3"/>
      <c r="G525" s="3"/>
    </row>
    <row r="526" spans="6:7" ht="12.75">
      <c r="F526" s="3"/>
      <c r="G526" s="3"/>
    </row>
    <row r="527" spans="6:7" ht="12.75">
      <c r="F527" s="3"/>
      <c r="G527" s="3"/>
    </row>
    <row r="528" spans="6:7" ht="12.75">
      <c r="F528" s="3"/>
      <c r="G528" s="3"/>
    </row>
    <row r="529" spans="6:7" ht="12.75">
      <c r="F529" s="3"/>
      <c r="G529" s="3"/>
    </row>
    <row r="530" spans="6:7" ht="12.75">
      <c r="F530" s="3"/>
      <c r="G530" s="3"/>
    </row>
    <row r="531" spans="6:7" ht="12.75">
      <c r="F531" s="3"/>
      <c r="G531" s="3"/>
    </row>
    <row r="532" spans="6:7" ht="12.75">
      <c r="F532" s="3"/>
      <c r="G532" s="3"/>
    </row>
    <row r="533" spans="6:7" ht="12.75">
      <c r="F533" s="3"/>
      <c r="G533" s="3"/>
    </row>
    <row r="534" spans="6:7" ht="12.75">
      <c r="F534" s="3"/>
      <c r="G534" s="3"/>
    </row>
    <row r="535" spans="6:7" ht="12.75">
      <c r="F535" s="3"/>
      <c r="G535" s="3"/>
    </row>
    <row r="536" spans="6:7" ht="12.75">
      <c r="F536" s="3"/>
      <c r="G536" s="3"/>
    </row>
    <row r="537" spans="6:7" ht="12.75">
      <c r="F537" s="3"/>
      <c r="G537" s="3"/>
    </row>
    <row r="538" spans="6:7" ht="12.75">
      <c r="F538" s="3"/>
      <c r="G538" s="3"/>
    </row>
    <row r="539" spans="6:7" ht="12.75">
      <c r="F539" s="3"/>
      <c r="G539" s="3"/>
    </row>
    <row r="540" spans="6:7" ht="12.75">
      <c r="F540" s="3"/>
      <c r="G540" s="3"/>
    </row>
    <row r="541" spans="6:7" ht="12.75">
      <c r="F541" s="3"/>
      <c r="G541" s="3"/>
    </row>
    <row r="542" spans="6:7" ht="12.75">
      <c r="F542" s="3"/>
      <c r="G542" s="3"/>
    </row>
    <row r="543" spans="6:7" ht="12.75">
      <c r="F543" s="3"/>
      <c r="G543" s="3"/>
    </row>
    <row r="544" spans="6:7" ht="12.75">
      <c r="F544" s="3"/>
      <c r="G544" s="3"/>
    </row>
    <row r="545" spans="6:7" ht="12.75">
      <c r="F545" s="3"/>
      <c r="G545" s="3"/>
    </row>
    <row r="546" spans="6:7" ht="12.75">
      <c r="F546" s="3"/>
      <c r="G546" s="3"/>
    </row>
    <row r="547" spans="6:7" ht="12.75">
      <c r="F547" s="3"/>
      <c r="G547" s="3"/>
    </row>
    <row r="548" spans="6:7" ht="12.75">
      <c r="F548" s="3"/>
      <c r="G548" s="3"/>
    </row>
    <row r="549" spans="6:7" ht="12.75">
      <c r="F549" s="3"/>
      <c r="G549" s="3"/>
    </row>
    <row r="550" spans="6:7" ht="12.75">
      <c r="F550" s="3"/>
      <c r="G550" s="3"/>
    </row>
    <row r="551" spans="6:7" ht="12.75">
      <c r="F551" s="3"/>
      <c r="G551" s="3"/>
    </row>
    <row r="552" spans="6:7" ht="12.75">
      <c r="F552" s="3"/>
      <c r="G552" s="3"/>
    </row>
    <row r="553" spans="6:7" ht="12.75">
      <c r="F553" s="3"/>
      <c r="G553" s="3"/>
    </row>
    <row r="554" spans="6:7" ht="12.75">
      <c r="F554" s="3"/>
      <c r="G554" s="3"/>
    </row>
    <row r="555" spans="6:7" ht="12.75">
      <c r="F555" s="3"/>
      <c r="G555" s="3"/>
    </row>
    <row r="556" spans="6:7" ht="12.75">
      <c r="F556" s="3"/>
      <c r="G556" s="3"/>
    </row>
    <row r="557" spans="6:7" ht="12.75">
      <c r="F557" s="3"/>
      <c r="G557" s="3"/>
    </row>
    <row r="558" spans="6:7" ht="12.75">
      <c r="F558" s="3"/>
      <c r="G558" s="3"/>
    </row>
    <row r="559" spans="6:7" ht="12.75">
      <c r="F559" s="3"/>
      <c r="G559" s="3"/>
    </row>
    <row r="560" spans="6:7" ht="12.75">
      <c r="F560" s="3"/>
      <c r="G560" s="3"/>
    </row>
    <row r="561" spans="6:7" ht="12.75">
      <c r="F561" s="3"/>
      <c r="G561" s="3"/>
    </row>
    <row r="562" spans="6:7" ht="12.75">
      <c r="F562" s="3"/>
      <c r="G562" s="3"/>
    </row>
    <row r="563" spans="6:7" ht="12.75">
      <c r="F563" s="3"/>
      <c r="G563" s="3"/>
    </row>
    <row r="564" spans="6:7" ht="12.75">
      <c r="F564" s="3"/>
      <c r="G564" s="3"/>
    </row>
    <row r="565" spans="6:7" ht="12.75">
      <c r="F565" s="3"/>
      <c r="G565" s="3"/>
    </row>
    <row r="566" spans="6:7" ht="12.75">
      <c r="F566" s="3"/>
      <c r="G566" s="3"/>
    </row>
    <row r="567" spans="6:7" ht="12.75">
      <c r="F567" s="3"/>
      <c r="G567" s="3"/>
    </row>
    <row r="568" spans="6:7" ht="12.75">
      <c r="F568" s="3"/>
      <c r="G568" s="3"/>
    </row>
    <row r="569" spans="6:7" ht="12.75">
      <c r="F569" s="3"/>
      <c r="G569" s="3"/>
    </row>
    <row r="570" spans="6:7" ht="12.75">
      <c r="F570" s="3"/>
      <c r="G570" s="3"/>
    </row>
    <row r="571" spans="6:7" ht="12.75">
      <c r="F571" s="3"/>
      <c r="G571" s="3"/>
    </row>
    <row r="572" spans="6:7" ht="12.75">
      <c r="F572" s="3"/>
      <c r="G572" s="3"/>
    </row>
    <row r="573" spans="6:7" ht="12.75">
      <c r="F573" s="3"/>
      <c r="G573" s="3"/>
    </row>
    <row r="574" spans="6:7" ht="12.75">
      <c r="F574" s="3"/>
      <c r="G574" s="3"/>
    </row>
    <row r="575" spans="6:7" ht="12.75">
      <c r="F575" s="3"/>
      <c r="G575" s="3"/>
    </row>
    <row r="576" spans="6:7" ht="12.75">
      <c r="F576" s="3"/>
      <c r="G576" s="3"/>
    </row>
    <row r="577" spans="6:7" ht="12.75">
      <c r="F577" s="3"/>
      <c r="G577" s="3"/>
    </row>
    <row r="578" spans="6:7" ht="12.75">
      <c r="F578" s="3"/>
      <c r="G578" s="3"/>
    </row>
    <row r="579" spans="6:7" ht="12.75">
      <c r="F579" s="3"/>
      <c r="G579" s="3"/>
    </row>
    <row r="580" spans="6:7" ht="12.75">
      <c r="F580" s="3"/>
      <c r="G580" s="3"/>
    </row>
    <row r="581" spans="6:7" ht="12.75">
      <c r="F581" s="3"/>
      <c r="G581" s="3"/>
    </row>
    <row r="582" spans="6:7" ht="12.75">
      <c r="F582" s="3"/>
      <c r="G582" s="3"/>
    </row>
    <row r="583" spans="6:7" ht="12.75">
      <c r="F583" s="3"/>
      <c r="G583" s="3"/>
    </row>
    <row r="584" spans="6:7" ht="12.75">
      <c r="F584" s="3"/>
      <c r="G584" s="3"/>
    </row>
    <row r="585" spans="6:7" ht="12.75">
      <c r="F585" s="3"/>
      <c r="G585" s="3"/>
    </row>
    <row r="586" spans="6:7" ht="12.75">
      <c r="F586" s="3"/>
      <c r="G586" s="3"/>
    </row>
    <row r="587" spans="6:7" ht="12.75">
      <c r="F587" s="3"/>
      <c r="G587" s="3"/>
    </row>
    <row r="588" spans="6:7" ht="12.75">
      <c r="F588" s="3"/>
      <c r="G588" s="3"/>
    </row>
    <row r="589" spans="6:7" ht="12.75">
      <c r="F589" s="3"/>
      <c r="G589" s="3"/>
    </row>
    <row r="590" spans="6:7" ht="12.75">
      <c r="F590" s="3"/>
      <c r="G590" s="3"/>
    </row>
    <row r="591" spans="6:7" ht="12.75">
      <c r="F591" s="3"/>
      <c r="G591" s="3"/>
    </row>
    <row r="592" spans="6:7" ht="12.75">
      <c r="F592" s="3"/>
      <c r="G592" s="3"/>
    </row>
    <row r="593" spans="6:7" ht="12.75">
      <c r="F593" s="3"/>
      <c r="G593" s="3"/>
    </row>
    <row r="594" spans="6:7" ht="12.75">
      <c r="F594" s="3"/>
      <c r="G594" s="3"/>
    </row>
    <row r="595" spans="6:7" ht="12.75">
      <c r="F595" s="3"/>
      <c r="G595" s="3"/>
    </row>
    <row r="596" spans="6:7" ht="12.75">
      <c r="F596" s="3"/>
      <c r="G596" s="3"/>
    </row>
    <row r="597" spans="6:7" ht="12.75">
      <c r="F597" s="3"/>
      <c r="G597" s="3"/>
    </row>
    <row r="598" spans="6:7" ht="12.75">
      <c r="F598" s="3"/>
      <c r="G598" s="3"/>
    </row>
    <row r="599" spans="6:7" ht="12.75">
      <c r="F599" s="3"/>
      <c r="G599" s="3"/>
    </row>
    <row r="600" spans="6:7" ht="12.75">
      <c r="F600" s="3"/>
      <c r="G600" s="3"/>
    </row>
    <row r="601" spans="6:7" ht="12.75">
      <c r="F601" s="3"/>
      <c r="G601" s="3"/>
    </row>
    <row r="602" spans="6:7" ht="12.75">
      <c r="F602" s="3"/>
      <c r="G602" s="3"/>
    </row>
    <row r="603" spans="6:7" ht="12.75">
      <c r="F603" s="3"/>
      <c r="G603" s="3"/>
    </row>
    <row r="604" spans="6:7" ht="12.75">
      <c r="F604" s="3"/>
      <c r="G604" s="3"/>
    </row>
    <row r="605" spans="6:7" ht="12.75">
      <c r="F605" s="3"/>
      <c r="G605" s="3"/>
    </row>
    <row r="606" spans="6:7" ht="12.75">
      <c r="F606" s="3"/>
      <c r="G606" s="3"/>
    </row>
    <row r="607" spans="6:7" ht="12.75">
      <c r="F607" s="3"/>
      <c r="G607" s="3"/>
    </row>
    <row r="608" spans="6:7" ht="12.75">
      <c r="F608" s="3"/>
      <c r="G608" s="3"/>
    </row>
    <row r="609" spans="6:7" ht="12.75">
      <c r="F609" s="3"/>
      <c r="G609" s="3"/>
    </row>
    <row r="610" spans="6:7" ht="12.75">
      <c r="F610" s="3"/>
      <c r="G610" s="3"/>
    </row>
    <row r="611" spans="6:7" ht="12.75">
      <c r="F611" s="3"/>
      <c r="G611" s="3"/>
    </row>
    <row r="612" spans="6:7" ht="12.75">
      <c r="F612" s="3"/>
      <c r="G612" s="3"/>
    </row>
    <row r="613" spans="6:7" ht="12.75">
      <c r="F613" s="3"/>
      <c r="G613" s="3"/>
    </row>
    <row r="614" spans="6:7" ht="12.75">
      <c r="F614" s="3"/>
      <c r="G614" s="3"/>
    </row>
    <row r="615" spans="6:7" ht="12.75">
      <c r="F615" s="3"/>
      <c r="G615" s="3"/>
    </row>
    <row r="616" spans="6:7" ht="12.75">
      <c r="F616" s="3"/>
      <c r="G616" s="3"/>
    </row>
    <row r="617" spans="6:7" ht="12.75">
      <c r="F617" s="3"/>
      <c r="G617" s="3"/>
    </row>
    <row r="618" spans="6:7" ht="12.75">
      <c r="F618" s="3"/>
      <c r="G618" s="3"/>
    </row>
    <row r="619" spans="6:7" ht="12.75">
      <c r="F619" s="3"/>
      <c r="G619" s="3"/>
    </row>
    <row r="620" spans="6:7" ht="12.75">
      <c r="F620" s="3"/>
      <c r="G620" s="3"/>
    </row>
    <row r="621" spans="6:7" ht="12.75">
      <c r="F621" s="3"/>
      <c r="G621" s="3"/>
    </row>
    <row r="622" spans="6:7" ht="12.75">
      <c r="F622" s="3"/>
      <c r="G622" s="3"/>
    </row>
    <row r="623" spans="6:7" ht="12.75">
      <c r="F623" s="3"/>
      <c r="G623" s="3"/>
    </row>
    <row r="624" spans="6:7" ht="12.75">
      <c r="F624" s="3"/>
      <c r="G624" s="3"/>
    </row>
    <row r="625" spans="6:7" ht="12.75">
      <c r="F625" s="3"/>
      <c r="G625" s="3"/>
    </row>
    <row r="626" spans="6:7" ht="12.75">
      <c r="F626" s="3"/>
      <c r="G626" s="3"/>
    </row>
    <row r="627" spans="6:7" ht="12.75">
      <c r="F627" s="3"/>
      <c r="G627" s="3"/>
    </row>
    <row r="628" spans="6:7" ht="12.75">
      <c r="F628" s="3"/>
      <c r="G628" s="3"/>
    </row>
    <row r="629" spans="6:7" ht="12.75">
      <c r="F629" s="3"/>
      <c r="G629" s="3"/>
    </row>
    <row r="630" spans="6:7" ht="12.75">
      <c r="F630" s="3"/>
      <c r="G630" s="3"/>
    </row>
    <row r="631" spans="6:7" ht="12.75">
      <c r="F631" s="3"/>
      <c r="G631" s="3"/>
    </row>
    <row r="632" spans="6:7" ht="12.75">
      <c r="F632" s="3"/>
      <c r="G632" s="3"/>
    </row>
    <row r="633" spans="6:7" ht="12.75">
      <c r="F633" s="3"/>
      <c r="G633" s="3"/>
    </row>
    <row r="634" spans="6:7" ht="12.75">
      <c r="F634" s="3"/>
      <c r="G634" s="3"/>
    </row>
    <row r="635" spans="6:7" ht="12.75">
      <c r="F635" s="3"/>
      <c r="G635" s="3"/>
    </row>
    <row r="636" spans="6:7" ht="12.75">
      <c r="F636" s="3"/>
      <c r="G636" s="3"/>
    </row>
    <row r="637" spans="6:7" ht="12.75">
      <c r="F637" s="3"/>
      <c r="G637" s="3"/>
    </row>
    <row r="638" spans="6:7" ht="12.75">
      <c r="F638" s="3"/>
      <c r="G638" s="3"/>
    </row>
    <row r="639" spans="6:7" ht="12.75">
      <c r="F639" s="3"/>
      <c r="G639" s="3"/>
    </row>
    <row r="640" spans="6:7" ht="12.75">
      <c r="F640" s="3"/>
      <c r="G640" s="3"/>
    </row>
    <row r="641" spans="6:7" ht="12.75">
      <c r="F641" s="3"/>
      <c r="G641" s="3"/>
    </row>
    <row r="642" spans="6:7" ht="12.75">
      <c r="F642" s="3"/>
      <c r="G642" s="3"/>
    </row>
    <row r="643" spans="6:7" ht="12.75">
      <c r="F643" s="3"/>
      <c r="G643" s="3"/>
    </row>
    <row r="644" spans="6:7" ht="12.75">
      <c r="F644" s="3"/>
      <c r="G644" s="3"/>
    </row>
    <row r="645" spans="6:7" ht="12.75">
      <c r="F645" s="3"/>
      <c r="G645" s="3"/>
    </row>
    <row r="646" spans="6:7" ht="12.75">
      <c r="F646" s="3"/>
      <c r="G646" s="3"/>
    </row>
    <row r="647" spans="6:7" ht="12.75">
      <c r="F647" s="3"/>
      <c r="G647" s="3"/>
    </row>
    <row r="648" spans="6:7" ht="12.75">
      <c r="F648" s="3"/>
      <c r="G648" s="3"/>
    </row>
    <row r="649" spans="6:7" ht="12.75">
      <c r="F649" s="3"/>
      <c r="G649" s="3"/>
    </row>
    <row r="650" spans="6:7" ht="12.75">
      <c r="F650" s="3"/>
      <c r="G650" s="3"/>
    </row>
    <row r="651" spans="6:7" ht="12.75">
      <c r="F651" s="3"/>
      <c r="G651" s="3"/>
    </row>
    <row r="652" spans="6:7" ht="12.75">
      <c r="F652" s="3"/>
      <c r="G652" s="3"/>
    </row>
    <row r="653" spans="6:7" ht="12.75">
      <c r="F653" s="3"/>
      <c r="G653" s="3"/>
    </row>
    <row r="654" spans="6:7" ht="12.75">
      <c r="F654" s="3"/>
      <c r="G654" s="3"/>
    </row>
    <row r="655" spans="6:7" ht="12.75">
      <c r="F655" s="3"/>
      <c r="G655" s="3"/>
    </row>
    <row r="656" spans="6:7" ht="12.75">
      <c r="F656" s="3"/>
      <c r="G656" s="3"/>
    </row>
    <row r="657" spans="6:7" ht="12.75">
      <c r="F657" s="3"/>
      <c r="G657" s="3"/>
    </row>
    <row r="658" spans="6:7" ht="12.75">
      <c r="F658" s="3"/>
      <c r="G658" s="3"/>
    </row>
    <row r="659" spans="6:7" ht="12.75">
      <c r="F659" s="3"/>
      <c r="G659" s="3"/>
    </row>
    <row r="660" spans="6:7" ht="12.75">
      <c r="F660" s="3"/>
      <c r="G660" s="3"/>
    </row>
    <row r="661" spans="6:7" ht="12.75">
      <c r="F661" s="3"/>
      <c r="G661" s="3"/>
    </row>
    <row r="662" spans="6:7" ht="12.75">
      <c r="F662" s="3"/>
      <c r="G662" s="3"/>
    </row>
    <row r="663" spans="6:7" ht="12.75">
      <c r="F663" s="3"/>
      <c r="G663" s="3"/>
    </row>
    <row r="664" spans="6:7" ht="12.75">
      <c r="F664" s="3"/>
      <c r="G664" s="3"/>
    </row>
    <row r="665" spans="6:7" ht="12.75">
      <c r="F665" s="3"/>
      <c r="G665" s="3"/>
    </row>
    <row r="666" spans="6:7" ht="12.75">
      <c r="F666" s="3"/>
      <c r="G666" s="3"/>
    </row>
    <row r="667" spans="6:7" ht="12.75">
      <c r="F667" s="3"/>
      <c r="G667" s="3"/>
    </row>
    <row r="668" spans="6:7" ht="12.75">
      <c r="F668" s="3"/>
      <c r="G668" s="3"/>
    </row>
    <row r="669" spans="6:7" ht="12.75">
      <c r="F669" s="3"/>
      <c r="G669" s="3"/>
    </row>
    <row r="670" spans="6:7" ht="12.75">
      <c r="F670" s="3"/>
      <c r="G670" s="3"/>
    </row>
    <row r="671" spans="6:7" ht="12.75">
      <c r="F671" s="3"/>
      <c r="G671" s="3"/>
    </row>
    <row r="672" spans="6:7" ht="12.75">
      <c r="F672" s="3"/>
      <c r="G672" s="3"/>
    </row>
    <row r="673" spans="6:7" ht="12.75">
      <c r="F673" s="3"/>
      <c r="G673" s="3"/>
    </row>
    <row r="674" spans="6:7" ht="12.75">
      <c r="F674" s="3"/>
      <c r="G674" s="3"/>
    </row>
    <row r="675" spans="6:7" ht="12.75">
      <c r="F675" s="3"/>
      <c r="G675" s="3"/>
    </row>
    <row r="676" spans="6:7" ht="12.75">
      <c r="F676" s="3"/>
      <c r="G676" s="3"/>
    </row>
    <row r="677" spans="6:7" ht="12.75">
      <c r="F677" s="3"/>
      <c r="G677" s="3"/>
    </row>
    <row r="678" spans="6:7" ht="12.75">
      <c r="F678" s="3"/>
      <c r="G678" s="3"/>
    </row>
    <row r="679" spans="6:7" ht="12.75">
      <c r="F679" s="3"/>
      <c r="G679" s="3"/>
    </row>
    <row r="680" spans="6:7" ht="12.75">
      <c r="F680" s="3"/>
      <c r="G680" s="3"/>
    </row>
    <row r="681" spans="6:7" ht="12.75">
      <c r="F681" s="3"/>
      <c r="G681" s="3"/>
    </row>
    <row r="682" spans="6:7" ht="12.75">
      <c r="F682" s="3"/>
      <c r="G682" s="3"/>
    </row>
    <row r="683" spans="6:7" ht="12.75">
      <c r="F683" s="3"/>
      <c r="G683" s="3"/>
    </row>
    <row r="684" spans="6:7" ht="12.75">
      <c r="F684" s="3"/>
      <c r="G684" s="3"/>
    </row>
    <row r="685" spans="6:7" ht="12.75">
      <c r="F685" s="3"/>
      <c r="G685" s="3"/>
    </row>
    <row r="686" spans="6:7" ht="12.75">
      <c r="F686" s="3"/>
      <c r="G686" s="3"/>
    </row>
    <row r="687" spans="6:7" ht="12.75">
      <c r="F687" s="3"/>
      <c r="G687" s="3"/>
    </row>
    <row r="688" spans="6:7" ht="12.75">
      <c r="F688" s="3"/>
      <c r="G688" s="3"/>
    </row>
    <row r="689" spans="6:7" ht="12.75">
      <c r="F689" s="3"/>
      <c r="G689" s="3"/>
    </row>
    <row r="690" spans="6:7" ht="12.75">
      <c r="F690" s="3"/>
      <c r="G690" s="3"/>
    </row>
    <row r="691" spans="6:7" ht="12.75">
      <c r="F691" s="3"/>
      <c r="G691" s="3"/>
    </row>
    <row r="692" spans="6:7" ht="12.75">
      <c r="F692" s="3"/>
      <c r="G692" s="3"/>
    </row>
    <row r="693" spans="6:7" ht="12.75">
      <c r="F693" s="3"/>
      <c r="G693" s="3"/>
    </row>
    <row r="694" spans="6:7" ht="12.75">
      <c r="F694" s="3"/>
      <c r="G694" s="3"/>
    </row>
    <row r="695" spans="6:7" ht="12.75">
      <c r="F695" s="3"/>
      <c r="G695" s="3"/>
    </row>
    <row r="696" spans="6:7" ht="12.75">
      <c r="F696" s="3"/>
      <c r="G696" s="3"/>
    </row>
    <row r="697" spans="6:7" ht="12.75">
      <c r="F697" s="3"/>
      <c r="G697" s="3"/>
    </row>
    <row r="698" spans="6:7" ht="12.75">
      <c r="F698" s="3"/>
      <c r="G698" s="3"/>
    </row>
    <row r="699" spans="6:7" ht="12.75">
      <c r="F699" s="3"/>
      <c r="G699" s="3"/>
    </row>
    <row r="700" spans="6:7" ht="12.75">
      <c r="F700" s="3"/>
      <c r="G700" s="3"/>
    </row>
    <row r="701" spans="6:7" ht="12.75">
      <c r="F701" s="3"/>
      <c r="G701" s="3"/>
    </row>
    <row r="702" spans="6:7" ht="12.75">
      <c r="F702" s="3"/>
      <c r="G702" s="3"/>
    </row>
    <row r="703" spans="6:7" ht="12.75">
      <c r="F703" s="3"/>
      <c r="G703" s="3"/>
    </row>
    <row r="704" spans="6:7" ht="12.75">
      <c r="F704" s="3"/>
      <c r="G704" s="3"/>
    </row>
    <row r="705" spans="6:7" ht="12.75">
      <c r="F705" s="3"/>
      <c r="G705" s="3"/>
    </row>
    <row r="706" spans="6:7" ht="12.75">
      <c r="F706" s="3"/>
      <c r="G706" s="3"/>
    </row>
    <row r="707" spans="6:7" ht="12.75">
      <c r="F707" s="3"/>
      <c r="G707" s="3"/>
    </row>
    <row r="708" spans="6:7" ht="12.75">
      <c r="F708" s="3"/>
      <c r="G708" s="3"/>
    </row>
    <row r="709" spans="6:7" ht="12.75">
      <c r="F709" s="3"/>
      <c r="G709" s="3"/>
    </row>
    <row r="710" spans="6:7" ht="12.75">
      <c r="F710" s="3"/>
      <c r="G710" s="3"/>
    </row>
    <row r="711" spans="6:7" ht="12.75">
      <c r="F711" s="3"/>
      <c r="G711" s="3"/>
    </row>
    <row r="712" spans="6:7" ht="12.75">
      <c r="F712" s="3"/>
      <c r="G712" s="3"/>
    </row>
    <row r="713" spans="6:7" ht="12.75">
      <c r="F713" s="3"/>
      <c r="G713" s="3"/>
    </row>
    <row r="714" spans="6:7" ht="12.75">
      <c r="F714" s="3"/>
      <c r="G714" s="3"/>
    </row>
    <row r="715" spans="6:7" ht="12.75">
      <c r="F715" s="3"/>
      <c r="G715" s="3"/>
    </row>
    <row r="716" spans="6:7" ht="12.75">
      <c r="F716" s="3"/>
      <c r="G716" s="3"/>
    </row>
    <row r="717" spans="6:7" ht="12.75">
      <c r="F717" s="3"/>
      <c r="G717" s="3"/>
    </row>
    <row r="718" spans="6:7" ht="12.75">
      <c r="F718" s="3"/>
      <c r="G718" s="3"/>
    </row>
    <row r="719" spans="6:7" ht="12.75">
      <c r="F719" s="3"/>
      <c r="G719" s="3"/>
    </row>
    <row r="720" spans="6:7" ht="12.75">
      <c r="F720" s="3"/>
      <c r="G720" s="3"/>
    </row>
    <row r="721" spans="6:7" ht="12.75">
      <c r="F721" s="3"/>
      <c r="G721" s="3"/>
    </row>
    <row r="722" spans="6:7" ht="12.75">
      <c r="F722" s="3"/>
      <c r="G722" s="3"/>
    </row>
    <row r="723" spans="6:7" ht="12.75">
      <c r="F723" s="3"/>
      <c r="G723" s="3"/>
    </row>
    <row r="724" spans="6:7" ht="12.75">
      <c r="F724" s="3"/>
      <c r="G724" s="3"/>
    </row>
    <row r="725" spans="6:7" ht="12.75">
      <c r="F725" s="3"/>
      <c r="G725" s="3"/>
    </row>
    <row r="726" spans="6:7" ht="12.75">
      <c r="F726" s="3"/>
      <c r="G726" s="3"/>
    </row>
    <row r="727" spans="6:7" ht="12.75">
      <c r="F727" s="3"/>
      <c r="G727" s="3"/>
    </row>
    <row r="728" spans="6:7" ht="12.75">
      <c r="F728" s="3"/>
      <c r="G728" s="3"/>
    </row>
    <row r="729" spans="6:7" ht="12.75">
      <c r="F729" s="3"/>
      <c r="G729" s="3"/>
    </row>
    <row r="730" spans="6:7" ht="12.75">
      <c r="F730" s="3"/>
      <c r="G730" s="3"/>
    </row>
    <row r="731" spans="6:7" ht="12.75">
      <c r="F731" s="3"/>
      <c r="G731" s="3"/>
    </row>
    <row r="732" spans="6:7" ht="12.75">
      <c r="F732" s="3"/>
      <c r="G732" s="3"/>
    </row>
    <row r="733" spans="6:7" ht="12.75">
      <c r="F733" s="3"/>
      <c r="G733" s="3"/>
    </row>
    <row r="734" spans="6:7" ht="12.75">
      <c r="F734" s="3"/>
      <c r="G734" s="3"/>
    </row>
    <row r="735" spans="6:7" ht="12.75">
      <c r="F735" s="3"/>
      <c r="G735" s="3"/>
    </row>
    <row r="736" spans="6:7" ht="12.75">
      <c r="F736" s="3"/>
      <c r="G736" s="3"/>
    </row>
    <row r="737" spans="6:7" ht="12.75">
      <c r="F737" s="3"/>
      <c r="G737" s="3"/>
    </row>
    <row r="738" spans="6:7" ht="12.75">
      <c r="F738" s="3"/>
      <c r="G738" s="3"/>
    </row>
    <row r="739" spans="6:7" ht="12.75">
      <c r="F739" s="3"/>
      <c r="G739" s="3"/>
    </row>
    <row r="740" spans="6:7" ht="12.75">
      <c r="F740" s="3"/>
      <c r="G740" s="3"/>
    </row>
    <row r="741" spans="6:7" ht="12.75">
      <c r="F741" s="3"/>
      <c r="G741" s="3"/>
    </row>
    <row r="742" spans="6:7" ht="12.75">
      <c r="F742" s="3"/>
      <c r="G742" s="3"/>
    </row>
    <row r="743" spans="6:7" ht="12.75">
      <c r="F743" s="3"/>
      <c r="G743" s="3"/>
    </row>
    <row r="744" spans="6:7" ht="12.75">
      <c r="F744" s="3"/>
      <c r="G744" s="3"/>
    </row>
    <row r="745" spans="6:7" ht="12.75">
      <c r="F745" s="3"/>
      <c r="G745" s="3"/>
    </row>
    <row r="746" spans="6:7" ht="12.75">
      <c r="F746" s="3"/>
      <c r="G746" s="3"/>
    </row>
    <row r="747" spans="6:7" ht="12.75">
      <c r="F747" s="3"/>
      <c r="G747" s="3"/>
    </row>
    <row r="748" spans="6:7" ht="12.75">
      <c r="F748" s="3"/>
      <c r="G748" s="3"/>
    </row>
    <row r="749" spans="6:7" ht="12.75">
      <c r="F749" s="3"/>
      <c r="G749" s="3"/>
    </row>
    <row r="750" spans="6:7" ht="12.75">
      <c r="F750" s="3"/>
      <c r="G750" s="3"/>
    </row>
    <row r="751" spans="6:7" ht="12.75">
      <c r="F751" s="3"/>
      <c r="G751" s="3"/>
    </row>
    <row r="752" spans="6:7" ht="12.75">
      <c r="F752" s="3"/>
      <c r="G752" s="3"/>
    </row>
    <row r="753" spans="6:7" ht="12.75">
      <c r="F753" s="3"/>
      <c r="G753" s="3"/>
    </row>
    <row r="754" spans="6:7" ht="12.75">
      <c r="F754" s="3"/>
      <c r="G754" s="3"/>
    </row>
    <row r="755" spans="6:7" ht="12.75">
      <c r="F755" s="3"/>
      <c r="G755" s="3"/>
    </row>
    <row r="756" spans="6:7" ht="12.75">
      <c r="F756" s="3"/>
      <c r="G756" s="3"/>
    </row>
    <row r="757" spans="6:7" ht="12.75">
      <c r="F757" s="3"/>
      <c r="G757" s="3"/>
    </row>
    <row r="758" spans="6:7" ht="12.75">
      <c r="F758" s="3"/>
      <c r="G758" s="3"/>
    </row>
    <row r="759" spans="6:7" ht="12.75">
      <c r="F759" s="3"/>
      <c r="G759" s="3"/>
    </row>
    <row r="760" spans="6:7" ht="12.75">
      <c r="F760" s="3"/>
      <c r="G760" s="3"/>
    </row>
    <row r="761" spans="6:7" ht="12.75">
      <c r="F761" s="3"/>
      <c r="G761" s="3"/>
    </row>
    <row r="762" spans="6:7" ht="12.75">
      <c r="F762" s="3"/>
      <c r="G762" s="3"/>
    </row>
    <row r="763" spans="6:7" ht="12.75">
      <c r="F763" s="3"/>
      <c r="G763" s="3"/>
    </row>
    <row r="764" spans="6:7" ht="12.75">
      <c r="F764" s="3"/>
      <c r="G764" s="3"/>
    </row>
    <row r="765" spans="6:7" ht="12.75">
      <c r="F765" s="3"/>
      <c r="G765" s="3"/>
    </row>
    <row r="766" spans="6:7" ht="12.75">
      <c r="F766" s="3"/>
      <c r="G766" s="3"/>
    </row>
    <row r="767" spans="6:7" ht="12.75">
      <c r="F767" s="3"/>
      <c r="G767" s="3"/>
    </row>
    <row r="768" spans="6:7" ht="12.75">
      <c r="F768" s="3"/>
      <c r="G768" s="3"/>
    </row>
    <row r="769" spans="6:7" ht="12.75">
      <c r="F769" s="3"/>
      <c r="G769" s="3"/>
    </row>
    <row r="770" spans="6:7" ht="12.75">
      <c r="F770" s="3"/>
      <c r="G770" s="3"/>
    </row>
    <row r="771" spans="6:7" ht="12.75">
      <c r="F771" s="3"/>
      <c r="G771" s="3"/>
    </row>
    <row r="772" spans="6:7" ht="12.75">
      <c r="F772" s="3"/>
      <c r="G772" s="3"/>
    </row>
    <row r="773" spans="6:7" ht="12.75">
      <c r="F773" s="3"/>
      <c r="G773" s="3"/>
    </row>
    <row r="774" spans="6:7" ht="12.75">
      <c r="F774" s="3"/>
      <c r="G774" s="3"/>
    </row>
    <row r="775" spans="6:7" ht="12.75">
      <c r="F775" s="3"/>
      <c r="G775" s="3"/>
    </row>
    <row r="776" spans="6:7" ht="12.75">
      <c r="F776" s="3"/>
      <c r="G776" s="3"/>
    </row>
    <row r="777" spans="6:7" ht="12.75">
      <c r="F777" s="3"/>
      <c r="G777" s="3"/>
    </row>
    <row r="778" spans="6:7" ht="12.75">
      <c r="F778" s="3"/>
      <c r="G778" s="3"/>
    </row>
    <row r="779" spans="6:7" ht="12.75">
      <c r="F779" s="3"/>
      <c r="G779" s="3"/>
    </row>
    <row r="780" spans="6:7" ht="12.75">
      <c r="F780" s="3"/>
      <c r="G780" s="3"/>
    </row>
    <row r="781" spans="6:7" ht="12.75">
      <c r="F781" s="3"/>
      <c r="G781" s="3"/>
    </row>
    <row r="782" spans="6:7" ht="12.75">
      <c r="F782" s="3"/>
      <c r="G782" s="3"/>
    </row>
    <row r="783" spans="6:7" ht="12.75">
      <c r="F783" s="3"/>
      <c r="G783" s="3"/>
    </row>
    <row r="784" spans="6:7" ht="12.75">
      <c r="F784" s="3"/>
      <c r="G784" s="3"/>
    </row>
    <row r="785" spans="6:7" ht="12.75">
      <c r="F785" s="3"/>
      <c r="G785" s="3"/>
    </row>
    <row r="786" spans="6:7" ht="12.75">
      <c r="F786" s="3"/>
      <c r="G786" s="3"/>
    </row>
    <row r="787" spans="6:7" ht="12.75">
      <c r="F787" s="3"/>
      <c r="G787" s="3"/>
    </row>
    <row r="788" spans="6:7" ht="12.75">
      <c r="F788" s="3"/>
      <c r="G788" s="3"/>
    </row>
    <row r="789" spans="6:7" ht="12.75">
      <c r="F789" s="3"/>
      <c r="G789" s="3"/>
    </row>
    <row r="790" spans="6:7" ht="12.75">
      <c r="F790" s="3"/>
      <c r="G790" s="3"/>
    </row>
    <row r="791" spans="6:7" ht="12.75">
      <c r="F791" s="3"/>
      <c r="G791" s="3"/>
    </row>
    <row r="792" spans="6:7" ht="12.75">
      <c r="F792" s="3"/>
      <c r="G792" s="3"/>
    </row>
    <row r="793" spans="6:7" ht="12.75">
      <c r="F793" s="3"/>
      <c r="G793" s="3"/>
    </row>
    <row r="794" spans="6:7" ht="12.75">
      <c r="F794" s="3"/>
      <c r="G794" s="3"/>
    </row>
    <row r="795" spans="6:7" ht="12.75">
      <c r="F795" s="3"/>
      <c r="G795" s="3"/>
    </row>
    <row r="796" spans="6:7" ht="12.75">
      <c r="F796" s="3"/>
      <c r="G796" s="3"/>
    </row>
    <row r="797" spans="6:7" ht="12.75">
      <c r="F797" s="3"/>
      <c r="G797" s="3"/>
    </row>
    <row r="798" spans="6:7" ht="12.75">
      <c r="F798" s="3"/>
      <c r="G798" s="3"/>
    </row>
    <row r="799" spans="6:7" ht="12.75">
      <c r="F799" s="3"/>
      <c r="G799" s="3"/>
    </row>
    <row r="800" spans="6:7" ht="12.75">
      <c r="F800" s="3"/>
      <c r="G800" s="3"/>
    </row>
    <row r="801" spans="6:7" ht="12.75">
      <c r="F801" s="3"/>
      <c r="G801" s="3"/>
    </row>
    <row r="802" spans="6:7" ht="12.75">
      <c r="F802" s="3"/>
      <c r="G802" s="3"/>
    </row>
    <row r="803" spans="6:7" ht="12.75">
      <c r="F803" s="3"/>
      <c r="G803" s="3"/>
    </row>
    <row r="804" spans="6:7" ht="12.75">
      <c r="F804" s="3"/>
      <c r="G804" s="3"/>
    </row>
    <row r="805" spans="6:7" ht="12.75">
      <c r="F805" s="3"/>
      <c r="G805" s="3"/>
    </row>
    <row r="806" spans="6:7" ht="12.75">
      <c r="F806" s="3"/>
      <c r="G806" s="3"/>
    </row>
    <row r="807" spans="6:7" ht="12.75">
      <c r="F807" s="3"/>
      <c r="G807" s="3"/>
    </row>
    <row r="808" spans="6:7" ht="12.75">
      <c r="F808" s="3"/>
      <c r="G808" s="3"/>
    </row>
    <row r="809" spans="6:7" ht="12.75">
      <c r="F809" s="3"/>
      <c r="G809" s="3"/>
    </row>
    <row r="810" spans="6:7" ht="12.75">
      <c r="F810" s="3"/>
      <c r="G810" s="3"/>
    </row>
    <row r="811" spans="6:7" ht="12.75">
      <c r="F811" s="3"/>
      <c r="G811" s="3"/>
    </row>
    <row r="812" spans="6:7" ht="12.75">
      <c r="F812" s="3"/>
      <c r="G812" s="3"/>
    </row>
    <row r="813" spans="6:7" ht="12.75">
      <c r="F813" s="3"/>
      <c r="G813" s="3"/>
    </row>
    <row r="814" spans="6:7" ht="12.75">
      <c r="F814" s="3"/>
      <c r="G814" s="3"/>
    </row>
    <row r="815" spans="6:7" ht="12.75">
      <c r="F815" s="3"/>
      <c r="G815" s="3"/>
    </row>
    <row r="816" spans="6:7" ht="12.75">
      <c r="F816" s="3"/>
      <c r="G816" s="3"/>
    </row>
    <row r="817" spans="6:7" ht="12.75">
      <c r="F817" s="3"/>
      <c r="G817" s="3"/>
    </row>
    <row r="818" spans="6:7" ht="12.75">
      <c r="F818" s="3"/>
      <c r="G818" s="3"/>
    </row>
    <row r="819" spans="6:7" ht="12.75">
      <c r="F819" s="3"/>
      <c r="G819" s="3"/>
    </row>
    <row r="820" spans="6:7" ht="12.75">
      <c r="F820" s="3"/>
      <c r="G820" s="3"/>
    </row>
    <row r="821" spans="6:7" ht="12.75">
      <c r="F821" s="3"/>
      <c r="G821" s="3"/>
    </row>
    <row r="822" spans="6:7" ht="12.75">
      <c r="F822" s="3"/>
      <c r="G822" s="3"/>
    </row>
    <row r="823" spans="6:7" ht="12.75">
      <c r="F823" s="3"/>
      <c r="G823" s="3"/>
    </row>
    <row r="824" spans="6:7" ht="12.75">
      <c r="F824" s="3"/>
      <c r="G824" s="3"/>
    </row>
    <row r="825" spans="6:7" ht="12.75">
      <c r="F825" s="3"/>
      <c r="G825" s="3"/>
    </row>
    <row r="826" spans="6:7" ht="12.75">
      <c r="F826" s="3"/>
      <c r="G826" s="3"/>
    </row>
    <row r="827" spans="6:7" ht="12.75">
      <c r="F827" s="3"/>
      <c r="G827" s="3"/>
    </row>
    <row r="828" spans="6:7" ht="12.75">
      <c r="F828" s="3"/>
      <c r="G828" s="3"/>
    </row>
    <row r="829" spans="6:7" ht="12.75">
      <c r="F829" s="3"/>
      <c r="G829" s="3"/>
    </row>
    <row r="830" spans="6:7" ht="12.75">
      <c r="F830" s="3"/>
      <c r="G830" s="3"/>
    </row>
    <row r="831" spans="6:7" ht="12.75">
      <c r="F831" s="3"/>
      <c r="G831" s="3"/>
    </row>
    <row r="832" spans="6:7" ht="12.75">
      <c r="F832" s="3"/>
      <c r="G832" s="3"/>
    </row>
    <row r="833" spans="6:7" ht="12.75">
      <c r="F833" s="3"/>
      <c r="G833" s="3"/>
    </row>
    <row r="834" spans="6:7" ht="12.75">
      <c r="F834" s="3"/>
      <c r="G834" s="3"/>
    </row>
    <row r="835" spans="6:7" ht="12.75">
      <c r="F835" s="3"/>
      <c r="G835" s="3"/>
    </row>
    <row r="836" spans="6:7" ht="12.75">
      <c r="F836" s="3"/>
      <c r="G836" s="3"/>
    </row>
    <row r="837" spans="6:7" ht="12.75">
      <c r="F837" s="3"/>
      <c r="G837" s="3"/>
    </row>
    <row r="838" spans="6:7" ht="12.75">
      <c r="F838" s="3"/>
      <c r="G838" s="3"/>
    </row>
    <row r="839" spans="6:7" ht="12.75">
      <c r="F839" s="3"/>
      <c r="G839" s="3"/>
    </row>
    <row r="840" spans="6:7" ht="12.75">
      <c r="F840" s="3"/>
      <c r="G840" s="3"/>
    </row>
    <row r="841" spans="6:7" ht="12.75">
      <c r="F841" s="3"/>
      <c r="G841" s="3"/>
    </row>
    <row r="842" spans="6:7" ht="12.75">
      <c r="F842" s="3"/>
      <c r="G842" s="3"/>
    </row>
    <row r="843" spans="6:7" ht="12.75">
      <c r="F843" s="3"/>
      <c r="G843" s="3"/>
    </row>
    <row r="844" spans="6:7" ht="12.75">
      <c r="F844" s="3"/>
      <c r="G844" s="3"/>
    </row>
    <row r="845" spans="6:7" ht="12.75">
      <c r="F845" s="3"/>
      <c r="G845" s="3"/>
    </row>
    <row r="846" spans="6:7" ht="12.75">
      <c r="F846" s="3"/>
      <c r="G846" s="3"/>
    </row>
    <row r="847" spans="6:7" ht="12.75">
      <c r="F847" s="3"/>
      <c r="G847" s="3"/>
    </row>
    <row r="848" spans="6:7" ht="12.75">
      <c r="F848" s="3"/>
      <c r="G848" s="3"/>
    </row>
    <row r="849" spans="6:7" ht="12.75">
      <c r="F849" s="3"/>
      <c r="G849" s="3"/>
    </row>
    <row r="850" spans="6:7" ht="12.75">
      <c r="F850" s="3"/>
      <c r="G850" s="3"/>
    </row>
    <row r="851" spans="6:7" ht="12.75">
      <c r="F851" s="3"/>
      <c r="G851" s="3"/>
    </row>
    <row r="852" spans="6:7" ht="12.75">
      <c r="F852" s="3"/>
      <c r="G852" s="3"/>
    </row>
    <row r="853" spans="6:7" ht="12.75">
      <c r="F853" s="3"/>
      <c r="G853" s="3"/>
    </row>
    <row r="854" spans="6:7" ht="12.75">
      <c r="F854" s="3"/>
      <c r="G854" s="3"/>
    </row>
    <row r="855" spans="6:7" ht="12.75">
      <c r="F855" s="3"/>
      <c r="G855" s="3"/>
    </row>
    <row r="856" spans="6:7" ht="12.75">
      <c r="F856" s="3"/>
      <c r="G856" s="3"/>
    </row>
    <row r="857" spans="6:7" ht="12.75">
      <c r="F857" s="3"/>
      <c r="G857" s="3"/>
    </row>
    <row r="858" spans="6:7" ht="12.75">
      <c r="F858" s="3"/>
      <c r="G858" s="3"/>
    </row>
    <row r="859" spans="6:7" ht="12.75">
      <c r="F859" s="3"/>
      <c r="G859" s="3"/>
    </row>
    <row r="860" spans="6:7" ht="12.75">
      <c r="F860" s="3"/>
      <c r="G860" s="3"/>
    </row>
    <row r="861" spans="6:7" ht="12.75">
      <c r="F861" s="3"/>
      <c r="G861" s="3"/>
    </row>
    <row r="862" spans="6:7" ht="12.75">
      <c r="F862" s="3"/>
      <c r="G862" s="3"/>
    </row>
    <row r="863" spans="6:7" ht="12.75">
      <c r="F863" s="3"/>
      <c r="G863" s="3"/>
    </row>
    <row r="864" spans="6:7" ht="12.75">
      <c r="F864" s="3"/>
      <c r="G864" s="3"/>
    </row>
    <row r="865" spans="6:7" ht="12.75">
      <c r="F865" s="3"/>
      <c r="G865" s="3"/>
    </row>
    <row r="866" spans="6:7" ht="12.75">
      <c r="F866" s="3"/>
      <c r="G866" s="3"/>
    </row>
    <row r="867" spans="6:7" ht="12.75">
      <c r="F867" s="3"/>
      <c r="G867" s="3"/>
    </row>
    <row r="868" spans="6:7" ht="12.75">
      <c r="F868" s="3"/>
      <c r="G868" s="3"/>
    </row>
    <row r="869" spans="6:7" ht="12.75">
      <c r="F869" s="3"/>
      <c r="G869" s="3"/>
    </row>
    <row r="870" spans="6:7" ht="12.75">
      <c r="F870" s="3"/>
      <c r="G870" s="3"/>
    </row>
    <row r="871" spans="6:7" ht="12.75">
      <c r="F871" s="3"/>
      <c r="G871" s="3"/>
    </row>
    <row r="872" spans="6:7" ht="12.75">
      <c r="F872" s="3"/>
      <c r="G872" s="3"/>
    </row>
    <row r="873" spans="6:7" ht="12.75">
      <c r="F873" s="3"/>
      <c r="G873" s="3"/>
    </row>
    <row r="874" spans="6:7" ht="12.75">
      <c r="F874" s="3"/>
      <c r="G874" s="3"/>
    </row>
    <row r="875" spans="6:7" ht="12.75">
      <c r="F875" s="3"/>
      <c r="G875" s="3"/>
    </row>
    <row r="876" spans="6:7" ht="12.75">
      <c r="F876" s="3"/>
      <c r="G876" s="3"/>
    </row>
    <row r="877" spans="6:7" ht="12.75">
      <c r="F877" s="3"/>
      <c r="G877" s="3"/>
    </row>
    <row r="878" spans="6:7" ht="12.75">
      <c r="F878" s="3"/>
      <c r="G878" s="3"/>
    </row>
    <row r="879" spans="6:7" ht="12.75">
      <c r="F879" s="3"/>
      <c r="G879" s="3"/>
    </row>
    <row r="880" spans="6:7" ht="12.75">
      <c r="F880" s="3"/>
      <c r="G880" s="3"/>
    </row>
    <row r="881" spans="6:7" ht="12.75">
      <c r="F881" s="3"/>
      <c r="G881" s="3"/>
    </row>
    <row r="882" spans="6:7" ht="12.75">
      <c r="F882" s="3"/>
      <c r="G882" s="3"/>
    </row>
    <row r="883" spans="6:7" ht="12.75">
      <c r="F883" s="3"/>
      <c r="G883" s="3"/>
    </row>
    <row r="884" spans="6:7" ht="12.75">
      <c r="F884" s="3"/>
      <c r="G884" s="3"/>
    </row>
    <row r="885" spans="6:7" ht="12.75">
      <c r="F885" s="3"/>
      <c r="G885" s="3"/>
    </row>
    <row r="886" spans="6:7" ht="12.75">
      <c r="F886" s="3"/>
      <c r="G886" s="3"/>
    </row>
    <row r="887" spans="6:7" ht="12.75">
      <c r="F887" s="3"/>
      <c r="G887" s="3"/>
    </row>
    <row r="888" spans="6:7" ht="12.75">
      <c r="F888" s="3"/>
      <c r="G888" s="3"/>
    </row>
    <row r="889" spans="6:7" ht="12.75">
      <c r="F889" s="3"/>
      <c r="G889" s="3"/>
    </row>
    <row r="890" spans="6:7" ht="12.75">
      <c r="F890" s="3"/>
      <c r="G890" s="3"/>
    </row>
    <row r="891" spans="6:7" ht="12.75">
      <c r="F891" s="3"/>
      <c r="G891" s="3"/>
    </row>
    <row r="892" spans="6:7" ht="12.75">
      <c r="F892" s="3"/>
      <c r="G892" s="3"/>
    </row>
    <row r="893" spans="6:7" ht="12.75">
      <c r="F893" s="3"/>
      <c r="G893" s="3"/>
    </row>
    <row r="894" spans="6:7" ht="12.75">
      <c r="F894" s="3"/>
      <c r="G894" s="3"/>
    </row>
    <row r="895" spans="6:7" ht="12.75">
      <c r="F895" s="3"/>
      <c r="G895" s="3"/>
    </row>
    <row r="896" spans="6:7" ht="12.75">
      <c r="F896" s="3"/>
      <c r="G896" s="3"/>
    </row>
    <row r="897" spans="6:7" ht="12.75">
      <c r="F897" s="3"/>
      <c r="G897" s="3"/>
    </row>
    <row r="898" spans="6:7" ht="12.75">
      <c r="F898" s="3"/>
      <c r="G898" s="3"/>
    </row>
    <row r="899" spans="6:7" ht="12.75">
      <c r="F899" s="3"/>
      <c r="G899" s="3"/>
    </row>
    <row r="900" spans="6:7" ht="12.75">
      <c r="F900" s="3"/>
      <c r="G900" s="3"/>
    </row>
    <row r="901" spans="6:7" ht="12.75">
      <c r="F901" s="3"/>
      <c r="G901" s="3"/>
    </row>
    <row r="902" spans="6:7" ht="12.75">
      <c r="F902" s="3"/>
      <c r="G902" s="3"/>
    </row>
    <row r="903" spans="6:7" ht="12.75">
      <c r="F903" s="3"/>
      <c r="G903" s="3"/>
    </row>
    <row r="904" spans="6:7" ht="12.75">
      <c r="F904" s="3"/>
      <c r="G904" s="3"/>
    </row>
    <row r="905" spans="6:7" ht="12.75">
      <c r="F905" s="3"/>
      <c r="G905" s="3"/>
    </row>
    <row r="906" spans="6:7" ht="12.75">
      <c r="F906" s="3"/>
      <c r="G906" s="3"/>
    </row>
    <row r="907" spans="6:7" ht="12.75">
      <c r="F907" s="3"/>
      <c r="G907" s="3"/>
    </row>
    <row r="908" spans="6:7" ht="12.75">
      <c r="F908" s="3"/>
      <c r="G908" s="3"/>
    </row>
    <row r="909" spans="6:7" ht="12.75">
      <c r="F909" s="3"/>
      <c r="G909" s="3"/>
    </row>
    <row r="910" spans="6:7" ht="12.75">
      <c r="F910" s="3"/>
      <c r="G910" s="3"/>
    </row>
    <row r="911" spans="6:7" ht="12.75">
      <c r="F911" s="3"/>
      <c r="G911" s="3"/>
    </row>
    <row r="912" spans="6:7" ht="12.75">
      <c r="F912" s="3"/>
      <c r="G912" s="3"/>
    </row>
    <row r="913" spans="6:7" ht="12.75">
      <c r="F913" s="3"/>
      <c r="G913" s="3"/>
    </row>
    <row r="914" spans="6:7" ht="12.75">
      <c r="F914" s="3"/>
      <c r="G914" s="3"/>
    </row>
    <row r="915" spans="6:7" ht="12.75">
      <c r="F915" s="3"/>
      <c r="G915" s="3"/>
    </row>
    <row r="916" spans="6:7" ht="12.75">
      <c r="F916" s="3"/>
      <c r="G916" s="3"/>
    </row>
    <row r="917" spans="6:7" ht="12.75">
      <c r="F917" s="3"/>
      <c r="G917" s="3"/>
    </row>
    <row r="918" spans="6:7" ht="12.75">
      <c r="F918" s="3"/>
      <c r="G918" s="3"/>
    </row>
    <row r="919" spans="6:7" ht="12.75">
      <c r="F919" s="3"/>
      <c r="G919" s="3"/>
    </row>
    <row r="920" spans="6:7" ht="12.75">
      <c r="F920" s="3"/>
      <c r="G920" s="3"/>
    </row>
    <row r="921" spans="6:7" ht="12.75">
      <c r="F921" s="3"/>
      <c r="G921" s="3"/>
    </row>
    <row r="922" spans="6:7" ht="12.75">
      <c r="F922" s="3"/>
      <c r="G922" s="3"/>
    </row>
    <row r="923" spans="6:7" ht="12.75">
      <c r="F923" s="3"/>
      <c r="G923" s="3"/>
    </row>
    <row r="924" spans="6:7" ht="12.75">
      <c r="F924" s="3"/>
      <c r="G924" s="3"/>
    </row>
    <row r="925" spans="6:7" ht="12.75">
      <c r="F925" s="3"/>
      <c r="G925" s="3"/>
    </row>
    <row r="926" spans="6:7" ht="12.75">
      <c r="F926" s="3"/>
      <c r="G926" s="3"/>
    </row>
    <row r="927" spans="6:7" ht="12.75">
      <c r="F927" s="3"/>
      <c r="G927" s="3"/>
    </row>
    <row r="928" spans="6:7" ht="12.75">
      <c r="F928" s="3"/>
      <c r="G928" s="3"/>
    </row>
    <row r="929" spans="6:7" ht="12.75">
      <c r="F929" s="3"/>
      <c r="G929" s="3"/>
    </row>
    <row r="930" spans="6:7" ht="12.75">
      <c r="F930" s="3"/>
      <c r="G930" s="3"/>
    </row>
    <row r="931" spans="6:7" ht="12.75">
      <c r="F931" s="3"/>
      <c r="G931" s="3"/>
    </row>
    <row r="932" spans="6:7" ht="12.75">
      <c r="F932" s="3"/>
      <c r="G932" s="3"/>
    </row>
    <row r="933" spans="6:7" ht="12.75">
      <c r="F933" s="3"/>
      <c r="G933" s="3"/>
    </row>
    <row r="934" spans="6:7" ht="12.75">
      <c r="F934" s="3"/>
      <c r="G934" s="3"/>
    </row>
    <row r="935" spans="6:7" ht="12.75">
      <c r="F935" s="3"/>
      <c r="G935" s="3"/>
    </row>
    <row r="936" spans="6:7" ht="12.75">
      <c r="F936" s="3"/>
      <c r="G936" s="3"/>
    </row>
    <row r="937" spans="6:7" ht="12.75">
      <c r="F937" s="3"/>
      <c r="G937" s="3"/>
    </row>
    <row r="938" spans="6:7" ht="12.75">
      <c r="F938" s="3"/>
      <c r="G938" s="3"/>
    </row>
    <row r="939" spans="6:7" ht="12.75">
      <c r="F939" s="3"/>
      <c r="G939" s="3"/>
    </row>
    <row r="940" spans="6:7" ht="12.75">
      <c r="F940" s="3"/>
      <c r="G940" s="3"/>
    </row>
    <row r="941" spans="6:7" ht="12.75">
      <c r="F941" s="3"/>
      <c r="G941" s="3"/>
    </row>
    <row r="942" spans="6:7" ht="12.75">
      <c r="F942" s="3"/>
      <c r="G942" s="3"/>
    </row>
    <row r="943" spans="6:7" ht="12.75">
      <c r="F943" s="3"/>
      <c r="G943" s="3"/>
    </row>
    <row r="944" spans="6:7" ht="12.75">
      <c r="F944" s="3"/>
      <c r="G944" s="3"/>
    </row>
    <row r="945" spans="6:7" ht="12.75">
      <c r="F945" s="3"/>
      <c r="G945" s="3"/>
    </row>
    <row r="946" spans="6:7" ht="12.75">
      <c r="F946" s="3"/>
      <c r="G946" s="3"/>
    </row>
    <row r="947" spans="6:7" ht="12.75">
      <c r="F947" s="3"/>
      <c r="G947" s="3"/>
    </row>
    <row r="948" spans="6:7" ht="12.75">
      <c r="F948" s="3"/>
      <c r="G948" s="3"/>
    </row>
    <row r="949" spans="6:7" ht="12.75">
      <c r="F949" s="3"/>
      <c r="G949" s="3"/>
    </row>
    <row r="950" spans="6:7" ht="12.75">
      <c r="F950" s="3"/>
      <c r="G950" s="3"/>
    </row>
    <row r="951" spans="6:7" ht="12.75">
      <c r="F951" s="3"/>
      <c r="G951" s="3"/>
    </row>
    <row r="952" spans="6:7" ht="12.75">
      <c r="F952" s="3"/>
      <c r="G952" s="3"/>
    </row>
    <row r="953" spans="6:7" ht="12.75">
      <c r="F953" s="3"/>
      <c r="G953" s="3"/>
    </row>
    <row r="954" spans="6:7" ht="12.75">
      <c r="F954" s="3"/>
      <c r="G954" s="3"/>
    </row>
    <row r="955" spans="6:7" ht="12.75">
      <c r="F955" s="3"/>
      <c r="G955" s="3"/>
    </row>
    <row r="956" spans="6:7" ht="12.75">
      <c r="F956" s="3"/>
      <c r="G956" s="3"/>
    </row>
    <row r="957" spans="6:7" ht="12.75">
      <c r="F957" s="3"/>
      <c r="G957" s="3"/>
    </row>
    <row r="958" spans="6:7" ht="12.75">
      <c r="F958" s="3"/>
      <c r="G958" s="3"/>
    </row>
    <row r="959" spans="6:7" ht="12.75">
      <c r="F959" s="3"/>
      <c r="G959" s="3"/>
    </row>
    <row r="960" spans="6:7" ht="12.75">
      <c r="F960" s="3"/>
      <c r="G960" s="3"/>
    </row>
    <row r="961" spans="6:7" ht="12.75">
      <c r="F961" s="3"/>
      <c r="G961" s="3"/>
    </row>
    <row r="962" spans="6:7" ht="12.75">
      <c r="F962" s="3"/>
      <c r="G962" s="3"/>
    </row>
    <row r="963" spans="6:7" ht="12.75">
      <c r="F963" s="3"/>
      <c r="G963" s="3"/>
    </row>
    <row r="964" spans="6:7" ht="12.75">
      <c r="F964" s="3"/>
      <c r="G964" s="3"/>
    </row>
    <row r="965" spans="6:7" ht="12.75">
      <c r="F965" s="3"/>
      <c r="G965" s="3"/>
    </row>
    <row r="966" spans="6:7" ht="12.75">
      <c r="F966" s="3"/>
      <c r="G966" s="3"/>
    </row>
    <row r="967" spans="6:7" ht="12.75">
      <c r="F967" s="3"/>
      <c r="G967" s="3"/>
    </row>
    <row r="968" spans="6:7" ht="12.75">
      <c r="F968" s="3"/>
      <c r="G968" s="3"/>
    </row>
    <row r="969" spans="6:7" ht="12.75">
      <c r="F969" s="3"/>
      <c r="G969" s="3"/>
    </row>
    <row r="970" spans="6:7" ht="12.75">
      <c r="F970" s="3"/>
      <c r="G970" s="3"/>
    </row>
    <row r="971" spans="6:7" ht="12.75">
      <c r="F971" s="3"/>
      <c r="G971" s="3"/>
    </row>
    <row r="972" spans="6:7" ht="12.75">
      <c r="F972" s="3"/>
      <c r="G972" s="3"/>
    </row>
    <row r="973" spans="6:7" ht="12.75">
      <c r="F973" s="3"/>
      <c r="G973" s="3"/>
    </row>
    <row r="974" spans="6:7" ht="12.75">
      <c r="F974" s="3"/>
      <c r="G974" s="3"/>
    </row>
    <row r="975" spans="6:7" ht="12.75">
      <c r="F975" s="3"/>
      <c r="G975" s="3"/>
    </row>
    <row r="976" spans="6:7" ht="12.75">
      <c r="F976" s="3"/>
      <c r="G976" s="3"/>
    </row>
    <row r="977" spans="6:7" ht="12.75">
      <c r="F977" s="3"/>
      <c r="G977" s="3"/>
    </row>
    <row r="978" spans="6:7" ht="12.75">
      <c r="F978" s="3"/>
      <c r="G978" s="3"/>
    </row>
    <row r="979" spans="6:7" ht="12.75">
      <c r="F979" s="3"/>
      <c r="G979" s="3"/>
    </row>
    <row r="980" spans="6:7" ht="12.75">
      <c r="F980" s="3"/>
      <c r="G980" s="3"/>
    </row>
    <row r="981" spans="6:7" ht="12.75">
      <c r="F981" s="3"/>
      <c r="G981" s="3"/>
    </row>
    <row r="982" spans="6:7" ht="12.75">
      <c r="F982" s="3"/>
      <c r="G982" s="3"/>
    </row>
    <row r="983" spans="6:7" ht="12.75">
      <c r="F983" s="3"/>
      <c r="G983" s="3"/>
    </row>
    <row r="984" spans="6:7" ht="12.75">
      <c r="F984" s="3"/>
      <c r="G984" s="3"/>
    </row>
    <row r="985" spans="6:7" ht="12.75">
      <c r="F985" s="3"/>
      <c r="G985" s="3"/>
    </row>
    <row r="986" spans="6:7" ht="12.75">
      <c r="F986" s="3"/>
      <c r="G986" s="3"/>
    </row>
    <row r="987" spans="6:7" ht="12.75">
      <c r="F987" s="3"/>
      <c r="G987" s="3"/>
    </row>
    <row r="988" spans="6:7" ht="12.75">
      <c r="F988" s="3"/>
      <c r="G988" s="3"/>
    </row>
    <row r="989" spans="6:7" ht="12.75">
      <c r="F989" s="3"/>
      <c r="G989" s="3"/>
    </row>
    <row r="990" spans="6:7" ht="12.75">
      <c r="F990" s="3"/>
      <c r="G990" s="3"/>
    </row>
    <row r="991" spans="6:7" ht="12.75">
      <c r="F991" s="3"/>
      <c r="G991" s="3"/>
    </row>
    <row r="992" spans="6:7" ht="12.75">
      <c r="F992" s="3"/>
      <c r="G992" s="3"/>
    </row>
    <row r="993" spans="6:7" ht="12.75">
      <c r="F993" s="3"/>
      <c r="G993" s="3"/>
    </row>
    <row r="994" spans="6:7" ht="12.75">
      <c r="F994" s="3"/>
      <c r="G994" s="3"/>
    </row>
    <row r="995" spans="6:7" ht="12.75">
      <c r="F995" s="3"/>
      <c r="G995" s="3"/>
    </row>
    <row r="996" spans="6:7" ht="12.75">
      <c r="F996" s="3"/>
      <c r="G996" s="3"/>
    </row>
    <row r="997" spans="6:7" ht="12.75">
      <c r="F997" s="3"/>
      <c r="G997" s="3"/>
    </row>
    <row r="998" spans="6:7" ht="12.75">
      <c r="F998" s="3"/>
      <c r="G998" s="3"/>
    </row>
    <row r="999" spans="6:7" ht="12.75">
      <c r="F999" s="3"/>
      <c r="G999" s="3"/>
    </row>
    <row r="1000" spans="6:7" ht="12.75">
      <c r="F1000" s="3"/>
      <c r="G1000" s="3"/>
    </row>
    <row r="1001" spans="6:7" ht="12.75">
      <c r="F1001" s="3"/>
      <c r="G1001" s="3"/>
    </row>
    <row r="1002" spans="6:7" ht="12.75">
      <c r="F1002" s="3"/>
      <c r="G1002" s="3"/>
    </row>
    <row r="1003" spans="6:7" ht="12.75">
      <c r="F1003" s="3"/>
      <c r="G1003" s="3"/>
    </row>
    <row r="1004" spans="6:7" ht="12.75">
      <c r="F1004" s="3"/>
      <c r="G1004" s="3"/>
    </row>
    <row r="1005" spans="6:7" ht="12.75">
      <c r="F1005" s="3"/>
      <c r="G1005" s="3"/>
    </row>
    <row r="1006" spans="6:7" ht="12.75">
      <c r="F1006" s="3"/>
      <c r="G1006" s="3"/>
    </row>
    <row r="1007" spans="6:7" ht="12.75">
      <c r="F1007" s="3"/>
      <c r="G1007" s="3"/>
    </row>
    <row r="1008" spans="6:7" ht="12.75">
      <c r="F1008" s="3"/>
      <c r="G1008" s="3"/>
    </row>
    <row r="1009" spans="6:7" ht="12.75">
      <c r="F1009" s="3"/>
      <c r="G1009" s="3"/>
    </row>
    <row r="1010" spans="6:7" ht="12.75">
      <c r="F1010" s="3"/>
      <c r="G1010" s="3"/>
    </row>
    <row r="1011" spans="6:7" ht="12.75">
      <c r="F1011" s="3"/>
      <c r="G1011" s="3"/>
    </row>
    <row r="1012" spans="6:7" ht="12.75">
      <c r="F1012" s="3"/>
      <c r="G1012" s="3"/>
    </row>
    <row r="1013" spans="6:7" ht="12.75">
      <c r="F1013" s="3"/>
      <c r="G1013" s="3"/>
    </row>
    <row r="1014" spans="6:7" ht="12.75">
      <c r="F1014" s="3"/>
      <c r="G1014" s="3"/>
    </row>
    <row r="1015" spans="6:7" ht="12.75">
      <c r="F1015" s="3"/>
      <c r="G1015" s="3"/>
    </row>
    <row r="1016" spans="6:7" ht="12.75">
      <c r="F1016" s="3"/>
      <c r="G1016" s="3"/>
    </row>
    <row r="1017" spans="6:7" ht="12.75">
      <c r="F1017" s="3"/>
      <c r="G1017" s="3"/>
    </row>
    <row r="1018" spans="6:7" ht="12.75">
      <c r="F1018" s="3"/>
      <c r="G1018" s="3"/>
    </row>
    <row r="1019" spans="6:7" ht="12.75">
      <c r="F1019" s="3"/>
      <c r="G1019" s="3"/>
    </row>
    <row r="1020" spans="6:7" ht="12.75">
      <c r="F1020" s="3"/>
      <c r="G1020" s="3"/>
    </row>
    <row r="1021" spans="6:7" ht="12.75">
      <c r="F1021" s="3"/>
      <c r="G1021" s="3"/>
    </row>
    <row r="1022" spans="6:7" ht="12.75">
      <c r="F1022" s="3"/>
      <c r="G1022" s="3"/>
    </row>
    <row r="1023" spans="6:7" ht="12.75">
      <c r="F1023" s="3"/>
      <c r="G1023" s="3"/>
    </row>
    <row r="1024" spans="6:7" ht="12.75">
      <c r="F1024" s="3"/>
      <c r="G1024" s="3"/>
    </row>
    <row r="1025" spans="6:7" ht="12.75">
      <c r="F1025" s="3"/>
      <c r="G1025" s="3"/>
    </row>
    <row r="1026" spans="6:7" ht="12.75">
      <c r="F1026" s="3"/>
      <c r="G1026" s="3"/>
    </row>
    <row r="1027" spans="6:7" ht="12.75">
      <c r="F1027" s="3"/>
      <c r="G1027" s="3"/>
    </row>
    <row r="1028" spans="6:7" ht="12.75">
      <c r="F1028" s="3"/>
      <c r="G1028" s="3"/>
    </row>
    <row r="1029" spans="6:7" ht="12.75">
      <c r="F1029" s="3"/>
      <c r="G1029" s="3"/>
    </row>
    <row r="1030" spans="6:7" ht="12.75">
      <c r="F1030" s="3"/>
      <c r="G1030" s="3"/>
    </row>
    <row r="1031" spans="6:7" ht="12.75">
      <c r="F1031" s="3"/>
      <c r="G1031" s="3"/>
    </row>
    <row r="1032" spans="6:7" ht="12.75">
      <c r="F1032" s="3"/>
      <c r="G1032" s="3"/>
    </row>
    <row r="1033" spans="6:7" ht="12.75">
      <c r="F1033" s="3"/>
      <c r="G1033" s="3"/>
    </row>
    <row r="1034" spans="6:7" ht="12.75">
      <c r="F1034" s="3"/>
      <c r="G1034" s="3"/>
    </row>
    <row r="1035" spans="6:7" ht="12.75">
      <c r="F1035" s="3"/>
      <c r="G1035" s="3"/>
    </row>
    <row r="1036" spans="6:7" ht="12.75">
      <c r="F1036" s="3"/>
      <c r="G1036" s="3"/>
    </row>
    <row r="1037" spans="6:7" ht="12.75">
      <c r="F1037" s="3"/>
      <c r="G1037" s="3"/>
    </row>
    <row r="1038" spans="6:7" ht="12.75">
      <c r="F1038" s="3"/>
      <c r="G1038" s="3"/>
    </row>
    <row r="1039" spans="6:7" ht="12.75">
      <c r="F1039" s="3"/>
      <c r="G1039" s="3"/>
    </row>
    <row r="1040" spans="6:7" ht="12.75">
      <c r="F1040" s="3"/>
      <c r="G1040" s="3"/>
    </row>
    <row r="1041" spans="6:7" ht="12.75">
      <c r="F1041" s="3"/>
      <c r="G1041" s="3"/>
    </row>
    <row r="1042" spans="6:7" ht="12.75">
      <c r="F1042" s="3"/>
      <c r="G1042" s="3"/>
    </row>
    <row r="1043" spans="6:7" ht="12.75">
      <c r="F1043" s="3"/>
      <c r="G1043" s="3"/>
    </row>
    <row r="1044" spans="6:7" ht="12.75">
      <c r="F1044" s="3"/>
      <c r="G1044" s="3"/>
    </row>
    <row r="1045" spans="6:7" ht="12.75">
      <c r="F1045" s="3"/>
      <c r="G1045" s="3"/>
    </row>
    <row r="1046" spans="6:7" ht="12.75">
      <c r="F1046" s="3"/>
      <c r="G1046" s="3"/>
    </row>
    <row r="1047" spans="6:7" ht="12.75">
      <c r="F1047" s="3"/>
      <c r="G1047" s="3"/>
    </row>
    <row r="1048" spans="6:7" ht="12.75">
      <c r="F1048" s="3"/>
      <c r="G1048" s="3"/>
    </row>
    <row r="1049" spans="6:7" ht="12.75">
      <c r="F1049" s="3"/>
      <c r="G1049" s="3"/>
    </row>
    <row r="1050" spans="6:7" ht="12.75">
      <c r="F1050" s="3"/>
      <c r="G1050" s="3"/>
    </row>
    <row r="1051" spans="6:7" ht="12.75">
      <c r="F1051" s="3"/>
      <c r="G1051" s="3"/>
    </row>
    <row r="1052" spans="6:7" ht="12.75">
      <c r="F1052" s="3"/>
      <c r="G1052" s="3"/>
    </row>
    <row r="1053" spans="6:7" ht="12.75">
      <c r="F1053" s="3"/>
      <c r="G1053" s="3"/>
    </row>
    <row r="1054" spans="6:7" ht="12.75">
      <c r="F1054" s="3"/>
      <c r="G1054" s="3"/>
    </row>
    <row r="1055" spans="6:7" ht="12.75">
      <c r="F1055" s="3"/>
      <c r="G1055" s="3"/>
    </row>
    <row r="1056" spans="6:7" ht="12.75">
      <c r="F1056" s="3"/>
      <c r="G1056" s="3"/>
    </row>
    <row r="1057" spans="6:7" ht="12.75">
      <c r="F1057" s="3"/>
      <c r="G1057" s="3"/>
    </row>
    <row r="1058" spans="6:7" ht="12.75">
      <c r="F1058" s="3"/>
      <c r="G1058" s="3"/>
    </row>
    <row r="1059" spans="6:7" ht="12.75">
      <c r="F1059" s="3"/>
      <c r="G1059" s="3"/>
    </row>
    <row r="1060" spans="6:7" ht="12.75">
      <c r="F1060" s="3"/>
      <c r="G1060" s="3"/>
    </row>
    <row r="1061" spans="6:7" ht="12.75">
      <c r="F1061" s="3"/>
      <c r="G1061" s="3"/>
    </row>
    <row r="1062" spans="6:7" ht="12.75">
      <c r="F1062" s="3"/>
      <c r="G1062" s="3"/>
    </row>
    <row r="1063" spans="6:7" ht="12.75">
      <c r="F1063" s="3"/>
      <c r="G1063" s="3"/>
    </row>
    <row r="1064" spans="6:7" ht="12.75">
      <c r="F1064" s="3"/>
      <c r="G1064" s="3"/>
    </row>
    <row r="1065" spans="6:7" ht="12.75">
      <c r="F1065" s="3"/>
      <c r="G1065" s="3"/>
    </row>
    <row r="1066" spans="6:7" ht="12.75">
      <c r="F1066" s="3"/>
      <c r="G1066" s="3"/>
    </row>
    <row r="1067" spans="6:7" ht="12.75">
      <c r="F1067" s="3"/>
      <c r="G1067" s="3"/>
    </row>
    <row r="1068" spans="6:7" ht="12.75">
      <c r="F1068" s="3"/>
      <c r="G1068" s="3"/>
    </row>
    <row r="1069" spans="6:7" ht="12.75">
      <c r="F1069" s="3"/>
      <c r="G1069" s="3"/>
    </row>
    <row r="1070" spans="6:7" ht="12.75">
      <c r="F1070" s="3"/>
      <c r="G1070" s="3"/>
    </row>
    <row r="1071" spans="6:7" ht="12.75">
      <c r="F1071" s="3"/>
      <c r="G1071" s="3"/>
    </row>
    <row r="1072" spans="6:7" ht="12.75">
      <c r="F1072" s="3"/>
      <c r="G1072" s="3"/>
    </row>
    <row r="1073" spans="6:7" ht="12.75">
      <c r="F1073" s="3"/>
      <c r="G1073" s="3"/>
    </row>
    <row r="1074" spans="6:7" ht="12.75">
      <c r="F1074" s="3"/>
      <c r="G1074" s="3"/>
    </row>
    <row r="1075" spans="6:7" ht="12.75">
      <c r="F1075" s="3"/>
      <c r="G1075" s="3"/>
    </row>
    <row r="1076" spans="6:7" ht="12.75">
      <c r="F1076" s="3"/>
      <c r="G1076" s="3"/>
    </row>
    <row r="1077" spans="6:7" ht="12.75">
      <c r="F1077" s="3"/>
      <c r="G1077" s="3"/>
    </row>
    <row r="1078" spans="6:7" ht="12.75">
      <c r="F1078" s="3"/>
      <c r="G1078" s="3"/>
    </row>
    <row r="1079" spans="6:7" ht="12.75">
      <c r="F1079" s="3"/>
      <c r="G1079" s="3"/>
    </row>
    <row r="1080" spans="6:7" ht="12.75">
      <c r="F1080" s="3"/>
      <c r="G1080" s="3"/>
    </row>
    <row r="1081" spans="6:7" ht="12.75">
      <c r="F1081" s="3"/>
      <c r="G1081" s="3"/>
    </row>
    <row r="1082" spans="6:7" ht="12.75">
      <c r="F1082" s="3"/>
      <c r="G1082" s="3"/>
    </row>
    <row r="1083" spans="6:7" ht="12.75">
      <c r="F1083" s="3"/>
      <c r="G1083" s="3"/>
    </row>
    <row r="1084" spans="6:7" ht="12.75">
      <c r="F1084" s="3"/>
      <c r="G1084" s="3"/>
    </row>
    <row r="1085" spans="6:7" ht="12.75">
      <c r="F1085" s="3"/>
      <c r="G1085" s="3"/>
    </row>
    <row r="1086" spans="6:7" ht="12.75">
      <c r="F1086" s="3"/>
      <c r="G1086" s="3"/>
    </row>
    <row r="1087" spans="6:7" ht="12.75">
      <c r="F1087" s="3"/>
      <c r="G1087" s="3"/>
    </row>
    <row r="1088" spans="6:7" ht="12.75">
      <c r="F1088" s="3"/>
      <c r="G1088" s="3"/>
    </row>
    <row r="1089" spans="6:7" ht="12.75">
      <c r="F1089" s="3"/>
      <c r="G1089" s="3"/>
    </row>
    <row r="1090" spans="6:7" ht="12.75">
      <c r="F1090" s="3"/>
      <c r="G1090" s="3"/>
    </row>
    <row r="1091" spans="6:7" ht="12.75">
      <c r="F1091" s="3"/>
      <c r="G1091" s="3"/>
    </row>
    <row r="1092" spans="6:7" ht="12.75">
      <c r="F1092" s="3"/>
      <c r="G1092" s="3"/>
    </row>
    <row r="1093" spans="6:7" ht="12.75">
      <c r="F1093" s="3"/>
      <c r="G1093" s="3"/>
    </row>
    <row r="1094" spans="6:7" ht="12.75">
      <c r="F1094" s="3"/>
      <c r="G1094" s="3"/>
    </row>
    <row r="1095" spans="6:7" ht="12.75">
      <c r="F1095" s="3"/>
      <c r="G1095" s="3"/>
    </row>
    <row r="1096" spans="6:7" ht="12.75">
      <c r="F1096" s="3"/>
      <c r="G1096" s="3"/>
    </row>
    <row r="1097" spans="6:7" ht="12.75">
      <c r="F1097" s="3"/>
      <c r="G1097" s="3"/>
    </row>
    <row r="1098" spans="6:7" ht="12.75">
      <c r="F1098" s="3"/>
      <c r="G1098" s="3"/>
    </row>
    <row r="1099" spans="6:7" ht="12.75">
      <c r="F1099" s="3"/>
      <c r="G1099" s="3"/>
    </row>
    <row r="1100" spans="6:7" ht="12.75">
      <c r="F1100" s="3"/>
      <c r="G1100" s="3"/>
    </row>
    <row r="1101" spans="6:7" ht="12.75">
      <c r="F1101" s="3"/>
      <c r="G1101" s="3"/>
    </row>
    <row r="1102" spans="6:7" ht="12.75">
      <c r="F1102" s="3"/>
      <c r="G1102" s="3"/>
    </row>
    <row r="1103" spans="6:7" ht="12.75">
      <c r="F1103" s="3"/>
      <c r="G1103" s="3"/>
    </row>
    <row r="1104" spans="6:7" ht="12.75">
      <c r="F1104" s="3"/>
      <c r="G1104" s="3"/>
    </row>
    <row r="1105" spans="6:7" ht="12.75">
      <c r="F1105" s="3"/>
      <c r="G1105" s="3"/>
    </row>
    <row r="1106" spans="6:7" ht="12.75">
      <c r="F1106" s="3"/>
      <c r="G1106" s="3"/>
    </row>
    <row r="1107" spans="6:7" ht="12.75">
      <c r="F1107" s="3"/>
      <c r="G1107" s="3"/>
    </row>
    <row r="1108" spans="6:7" ht="12.75">
      <c r="F1108" s="3"/>
      <c r="G1108" s="3"/>
    </row>
    <row r="1109" spans="6:7" ht="12.75">
      <c r="F1109" s="3"/>
      <c r="G1109" s="3"/>
    </row>
    <row r="1110" spans="6:7" ht="12.75">
      <c r="F1110" s="3"/>
      <c r="G1110" s="3"/>
    </row>
    <row r="1111" spans="6:7" ht="12.75">
      <c r="F1111" s="3"/>
      <c r="G1111" s="3"/>
    </row>
    <row r="1112" spans="6:7" ht="12.75">
      <c r="F1112" s="3"/>
      <c r="G1112" s="3"/>
    </row>
    <row r="1113" spans="6:7" ht="12.75">
      <c r="F1113" s="3"/>
      <c r="G1113" s="3"/>
    </row>
    <row r="1114" spans="6:7" ht="12.75">
      <c r="F1114" s="3"/>
      <c r="G1114" s="3"/>
    </row>
    <row r="1115" spans="6:7" ht="12.75">
      <c r="F1115" s="3"/>
      <c r="G1115" s="3"/>
    </row>
    <row r="1116" spans="6:7" ht="12.75">
      <c r="F1116" s="3"/>
      <c r="G1116" s="3"/>
    </row>
    <row r="1117" spans="6:7" ht="12.75">
      <c r="F1117" s="3"/>
      <c r="G1117" s="3"/>
    </row>
    <row r="1118" spans="6:7" ht="12.75">
      <c r="F1118" s="3"/>
      <c r="G1118" s="3"/>
    </row>
    <row r="1119" spans="6:7" ht="12.75">
      <c r="F1119" s="3"/>
      <c r="G1119" s="3"/>
    </row>
    <row r="1120" spans="6:7" ht="12.75">
      <c r="F1120" s="3"/>
      <c r="G1120" s="3"/>
    </row>
    <row r="1121" spans="6:7" ht="12.75">
      <c r="F1121" s="3"/>
      <c r="G1121" s="3"/>
    </row>
    <row r="1122" spans="6:7" ht="12.75">
      <c r="F1122" s="3"/>
      <c r="G1122" s="3"/>
    </row>
    <row r="1123" spans="6:7" ht="12.75">
      <c r="F1123" s="3"/>
      <c r="G1123" s="3"/>
    </row>
    <row r="1124" spans="6:7" ht="12.75">
      <c r="F1124" s="3"/>
      <c r="G1124" s="3"/>
    </row>
    <row r="1125" spans="6:7" ht="12.75">
      <c r="F1125" s="3"/>
      <c r="G1125" s="3"/>
    </row>
    <row r="1126" spans="6:7" ht="12.75">
      <c r="F1126" s="3"/>
      <c r="G1126" s="3"/>
    </row>
    <row r="1127" spans="6:7" ht="12.75">
      <c r="F1127" s="3"/>
      <c r="G1127" s="3"/>
    </row>
    <row r="1128" spans="6:7" ht="12.75">
      <c r="F1128" s="3"/>
      <c r="G1128" s="3"/>
    </row>
    <row r="1129" spans="6:7" ht="12.75">
      <c r="F1129" s="3"/>
      <c r="G1129" s="3"/>
    </row>
    <row r="1130" spans="6:7" ht="12.75">
      <c r="F1130" s="3"/>
      <c r="G1130" s="3"/>
    </row>
    <row r="1131" spans="6:7" ht="12.75">
      <c r="F1131" s="3"/>
      <c r="G1131" s="3"/>
    </row>
    <row r="1132" spans="6:7" ht="12.75">
      <c r="F1132" s="3"/>
      <c r="G1132" s="3"/>
    </row>
    <row r="1133" spans="6:7" ht="12.75">
      <c r="F1133" s="3"/>
      <c r="G1133" s="3"/>
    </row>
    <row r="1134" spans="6:7" ht="12.75">
      <c r="F1134" s="3"/>
      <c r="G1134" s="3"/>
    </row>
    <row r="1135" spans="6:7" ht="12.75">
      <c r="F1135" s="3"/>
      <c r="G1135" s="3"/>
    </row>
    <row r="1136" spans="6:7" ht="12.75">
      <c r="F1136" s="3"/>
      <c r="G1136" s="3"/>
    </row>
    <row r="1137" spans="6:7" ht="12.75">
      <c r="F1137" s="3"/>
      <c r="G1137" s="3"/>
    </row>
    <row r="1138" spans="6:7" ht="12.75">
      <c r="F1138" s="3"/>
      <c r="G1138" s="3"/>
    </row>
    <row r="1139" spans="6:7" ht="12.75">
      <c r="F1139" s="3"/>
      <c r="G1139" s="3"/>
    </row>
    <row r="1140" spans="6:7" ht="12.75">
      <c r="F1140" s="3"/>
      <c r="G1140" s="3"/>
    </row>
    <row r="1141" spans="6:7" ht="12.75">
      <c r="F1141" s="3"/>
      <c r="G1141" s="3"/>
    </row>
    <row r="1142" spans="6:7" ht="12.75">
      <c r="F1142" s="3"/>
      <c r="G1142" s="3"/>
    </row>
    <row r="1143" spans="6:7" ht="12.75">
      <c r="F1143" s="3"/>
      <c r="G1143" s="3"/>
    </row>
    <row r="1144" spans="6:7" ht="12.75">
      <c r="F1144" s="3"/>
      <c r="G1144" s="3"/>
    </row>
    <row r="1145" spans="6:7" ht="12.75">
      <c r="F1145" s="3"/>
      <c r="G1145" s="3"/>
    </row>
    <row r="1146" spans="6:7" ht="12.75">
      <c r="F1146" s="3"/>
      <c r="G1146" s="3"/>
    </row>
    <row r="1147" spans="6:7" ht="12.75">
      <c r="F1147" s="3"/>
      <c r="G1147" s="3"/>
    </row>
    <row r="1148" spans="6:7" ht="12.75">
      <c r="F1148" s="3"/>
      <c r="G1148" s="3"/>
    </row>
    <row r="1149" spans="6:7" ht="12.75">
      <c r="F1149" s="3"/>
      <c r="G1149" s="3"/>
    </row>
    <row r="1150" spans="6:7" ht="12.75">
      <c r="F1150" s="3"/>
      <c r="G1150" s="3"/>
    </row>
    <row r="1151" spans="6:7" ht="12.75">
      <c r="F1151" s="3"/>
      <c r="G1151" s="3"/>
    </row>
    <row r="1152" spans="6:7" ht="12.75">
      <c r="F1152" s="3"/>
      <c r="G1152" s="3"/>
    </row>
    <row r="1153" spans="6:7" ht="12.75">
      <c r="F1153" s="3"/>
      <c r="G1153" s="3"/>
    </row>
    <row r="1154" spans="6:7" ht="12.75">
      <c r="F1154" s="3"/>
      <c r="G1154" s="3"/>
    </row>
    <row r="1155" spans="6:7" ht="12.75">
      <c r="F1155" s="3"/>
      <c r="G1155" s="3"/>
    </row>
    <row r="1156" spans="6:7" ht="12.75">
      <c r="F1156" s="3"/>
      <c r="G1156" s="3"/>
    </row>
    <row r="1157" spans="6:7" ht="12.75">
      <c r="F1157" s="3"/>
      <c r="G1157" s="3"/>
    </row>
    <row r="1158" spans="6:7" ht="12.75">
      <c r="F1158" s="3"/>
      <c r="G1158" s="3"/>
    </row>
    <row r="1159" spans="6:7" ht="12.75">
      <c r="F1159" s="3"/>
      <c r="G1159" s="3"/>
    </row>
    <row r="1160" spans="6:7" ht="12.75">
      <c r="F1160" s="3"/>
      <c r="G1160" s="3"/>
    </row>
    <row r="1161" spans="6:7" ht="12.75">
      <c r="F1161" s="3"/>
      <c r="G1161" s="3"/>
    </row>
    <row r="1162" spans="6:7" ht="12.75">
      <c r="F1162" s="3"/>
      <c r="G1162" s="3"/>
    </row>
    <row r="1163" spans="6:7" ht="12.75">
      <c r="F1163" s="3"/>
      <c r="G1163" s="3"/>
    </row>
    <row r="1164" spans="6:7" ht="12.75">
      <c r="F1164" s="3"/>
      <c r="G1164" s="3"/>
    </row>
    <row r="1165" spans="6:7" ht="12.75">
      <c r="F1165" s="3"/>
      <c r="G1165" s="3"/>
    </row>
    <row r="1166" spans="6:7" ht="12.75">
      <c r="F1166" s="3"/>
      <c r="G1166" s="3"/>
    </row>
    <row r="1167" spans="6:7" ht="12.75">
      <c r="F1167" s="3"/>
      <c r="G1167" s="3"/>
    </row>
    <row r="1168" spans="6:7" ht="12.75">
      <c r="F1168" s="3"/>
      <c r="G1168" s="3"/>
    </row>
    <row r="1169" spans="6:7" ht="12.75">
      <c r="F1169" s="3"/>
      <c r="G1169" s="3"/>
    </row>
    <row r="1170" spans="6:7" ht="12.75">
      <c r="F1170" s="3"/>
      <c r="G1170" s="3"/>
    </row>
    <row r="1171" spans="6:7" ht="12.75">
      <c r="F1171" s="3"/>
      <c r="G1171" s="3"/>
    </row>
    <row r="1172" spans="6:7" ht="12.75">
      <c r="F1172" s="3"/>
      <c r="G1172" s="3"/>
    </row>
    <row r="1173" spans="6:7" ht="12.75">
      <c r="F1173" s="3"/>
      <c r="G1173" s="3"/>
    </row>
    <row r="1174" spans="6:7" ht="12.75">
      <c r="F1174" s="3"/>
      <c r="G1174" s="3"/>
    </row>
    <row r="1175" spans="6:7" ht="12.75">
      <c r="F1175" s="3"/>
      <c r="G1175" s="3"/>
    </row>
    <row r="1176" spans="6:7" ht="12.75">
      <c r="F1176" s="3"/>
      <c r="G1176" s="3"/>
    </row>
    <row r="1177" spans="6:7" ht="12.75">
      <c r="F1177" s="3"/>
      <c r="G1177" s="3"/>
    </row>
    <row r="1178" spans="6:7" ht="12.75">
      <c r="F1178" s="3"/>
      <c r="G1178" s="3"/>
    </row>
    <row r="1179" spans="6:7" ht="12.75">
      <c r="F1179" s="3"/>
      <c r="G1179" s="3"/>
    </row>
    <row r="1180" spans="6:7" ht="12.75">
      <c r="F1180" s="3"/>
      <c r="G1180" s="3"/>
    </row>
    <row r="1181" spans="6:7" ht="12.75">
      <c r="F1181" s="3"/>
      <c r="G1181" s="3"/>
    </row>
    <row r="1182" spans="6:7" ht="12.75">
      <c r="F1182" s="3"/>
      <c r="G1182" s="3"/>
    </row>
    <row r="1183" spans="6:7" ht="12.75">
      <c r="F1183" s="3"/>
      <c r="G1183" s="3"/>
    </row>
    <row r="1184" spans="6:7" ht="12.75">
      <c r="F1184" s="3"/>
      <c r="G1184" s="3"/>
    </row>
    <row r="1185" spans="6:7" ht="12.75">
      <c r="F1185" s="3"/>
      <c r="G1185" s="3"/>
    </row>
    <row r="1186" spans="6:7" ht="12.75">
      <c r="F1186" s="3"/>
      <c r="G1186" s="3"/>
    </row>
    <row r="1187" spans="6:7" ht="12.75">
      <c r="F1187" s="3"/>
      <c r="G1187" s="3"/>
    </row>
    <row r="1188" spans="6:7" ht="12.75">
      <c r="F1188" s="3"/>
      <c r="G1188" s="3"/>
    </row>
    <row r="1189" spans="6:7" ht="12.75">
      <c r="F1189" s="3"/>
      <c r="G1189" s="3"/>
    </row>
    <row r="1190" spans="6:7" ht="12.75">
      <c r="F1190" s="3"/>
      <c r="G1190" s="3"/>
    </row>
    <row r="1191" spans="6:7" ht="12.75">
      <c r="F1191" s="3"/>
      <c r="G1191" s="3"/>
    </row>
    <row r="1192" spans="6:7" ht="12.75">
      <c r="F1192" s="3"/>
      <c r="G1192" s="3"/>
    </row>
    <row r="1193" spans="6:7" ht="12.75">
      <c r="F1193" s="3"/>
      <c r="G1193" s="3"/>
    </row>
    <row r="1194" spans="6:7" ht="12.75">
      <c r="F1194" s="3"/>
      <c r="G1194" s="3"/>
    </row>
    <row r="1195" spans="6:7" ht="12.75">
      <c r="F1195" s="3"/>
      <c r="G1195" s="3"/>
    </row>
    <row r="1196" spans="6:7" ht="12.75">
      <c r="F1196" s="3"/>
      <c r="G1196" s="3"/>
    </row>
    <row r="1197" spans="6:7" ht="12.75">
      <c r="F1197" s="3"/>
      <c r="G1197" s="3"/>
    </row>
    <row r="1198" spans="6:7" ht="12.75">
      <c r="F1198" s="3"/>
      <c r="G1198" s="3"/>
    </row>
    <row r="1199" spans="6:7" ht="12.75">
      <c r="F1199" s="3"/>
      <c r="G1199" s="3"/>
    </row>
    <row r="1200" spans="6:7" ht="12.75">
      <c r="F1200" s="3"/>
      <c r="G1200" s="3"/>
    </row>
    <row r="1201" spans="6:7" ht="12.75">
      <c r="F1201" s="3"/>
      <c r="G1201" s="3"/>
    </row>
    <row r="1202" spans="6:7" ht="12.75">
      <c r="F1202" s="3"/>
      <c r="G1202" s="3"/>
    </row>
    <row r="1203" spans="6:7" ht="12.75">
      <c r="F1203" s="3"/>
      <c r="G1203" s="3"/>
    </row>
    <row r="1204" spans="6:7" ht="12.75">
      <c r="F1204" s="3"/>
      <c r="G1204" s="3"/>
    </row>
    <row r="1205" spans="6:7" ht="12.75">
      <c r="F1205" s="3"/>
      <c r="G1205" s="3"/>
    </row>
    <row r="1206" spans="6:7" ht="12.75">
      <c r="F1206" s="3"/>
      <c r="G1206" s="3"/>
    </row>
    <row r="1207" spans="6:7" ht="12.75">
      <c r="F1207" s="3"/>
      <c r="G1207" s="3"/>
    </row>
    <row r="1208" spans="6:7" ht="12.75">
      <c r="F1208" s="3"/>
      <c r="G1208" s="3"/>
    </row>
    <row r="1209" spans="6:7" ht="12.75">
      <c r="F1209" s="3"/>
      <c r="G1209" s="3"/>
    </row>
    <row r="1210" spans="6:7" ht="12.75">
      <c r="F1210" s="3"/>
      <c r="G1210" s="3"/>
    </row>
    <row r="1211" spans="6:7" ht="12.75">
      <c r="F1211" s="3"/>
      <c r="G1211" s="3"/>
    </row>
    <row r="1212" spans="6:7" ht="12.75">
      <c r="F1212" s="3"/>
      <c r="G1212" s="3"/>
    </row>
    <row r="1213" spans="6:7" ht="12.75">
      <c r="F1213" s="3"/>
      <c r="G1213" s="3"/>
    </row>
    <row r="1214" spans="6:7" ht="12.75">
      <c r="F1214" s="3"/>
      <c r="G1214" s="3"/>
    </row>
    <row r="1215" spans="6:7" ht="12.75">
      <c r="F1215" s="3"/>
      <c r="G1215" s="3"/>
    </row>
    <row r="1216" spans="6:7" ht="12.75">
      <c r="F1216" s="3"/>
      <c r="G1216" s="3"/>
    </row>
    <row r="1217" spans="6:7" ht="12.75">
      <c r="F1217" s="3"/>
      <c r="G1217" s="3"/>
    </row>
    <row r="1218" spans="6:7" ht="12.75">
      <c r="F1218" s="3"/>
      <c r="G1218" s="3"/>
    </row>
    <row r="1219" spans="6:7" ht="12.75">
      <c r="F1219" s="3"/>
      <c r="G1219" s="3"/>
    </row>
    <row r="1220" spans="6:7" ht="12.75">
      <c r="F1220" s="3"/>
      <c r="G1220" s="3"/>
    </row>
    <row r="1221" spans="6:7" ht="12.75">
      <c r="F1221" s="3"/>
      <c r="G1221" s="3"/>
    </row>
    <row r="1222" spans="6:7" ht="12.75">
      <c r="F1222" s="3"/>
      <c r="G1222" s="3"/>
    </row>
    <row r="1223" spans="6:7" ht="12.75">
      <c r="F1223" s="3"/>
      <c r="G1223" s="3"/>
    </row>
    <row r="1224" spans="6:7" ht="12.75">
      <c r="F1224" s="3"/>
      <c r="G1224" s="3"/>
    </row>
    <row r="1225" spans="6:7" ht="12.75">
      <c r="F1225" s="3"/>
      <c r="G1225" s="3"/>
    </row>
    <row r="1226" spans="6:7" ht="12.75">
      <c r="F1226" s="3"/>
      <c r="G1226" s="3"/>
    </row>
    <row r="1227" spans="6:7" ht="12.75">
      <c r="F1227" s="3"/>
      <c r="G1227" s="3"/>
    </row>
    <row r="1228" spans="6:7" ht="12.75">
      <c r="F1228" s="3"/>
      <c r="G1228" s="3"/>
    </row>
    <row r="1229" spans="6:7" ht="12.75">
      <c r="F1229" s="3"/>
      <c r="G1229" s="3"/>
    </row>
    <row r="1230" spans="6:7" ht="12.75">
      <c r="F1230" s="3"/>
      <c r="G1230" s="3"/>
    </row>
    <row r="1231" spans="6:7" ht="12.75">
      <c r="F1231" s="3"/>
      <c r="G1231" s="3"/>
    </row>
    <row r="1232" spans="6:7" ht="12.75">
      <c r="F1232" s="3"/>
      <c r="G1232" s="3"/>
    </row>
    <row r="1233" spans="6:7" ht="12.75">
      <c r="F1233" s="3"/>
      <c r="G1233" s="3"/>
    </row>
    <row r="1234" spans="6:7" ht="12.75">
      <c r="F1234" s="3"/>
      <c r="G1234" s="3"/>
    </row>
    <row r="1235" spans="6:7" ht="12.75">
      <c r="F1235" s="3"/>
      <c r="G1235" s="3"/>
    </row>
    <row r="1236" spans="6:7" ht="12.75">
      <c r="F1236" s="3"/>
      <c r="G1236" s="3"/>
    </row>
    <row r="1237" spans="6:7" ht="12.75">
      <c r="F1237" s="3"/>
      <c r="G1237" s="3"/>
    </row>
    <row r="1238" spans="6:7" ht="12.75">
      <c r="F1238" s="3"/>
      <c r="G1238" s="3"/>
    </row>
    <row r="1239" spans="6:7" ht="12.75">
      <c r="F1239" s="3"/>
      <c r="G1239" s="3"/>
    </row>
    <row r="1240" spans="6:7" ht="12.75">
      <c r="F1240" s="3"/>
      <c r="G1240" s="3"/>
    </row>
    <row r="1241" spans="6:7" ht="12.75">
      <c r="F1241" s="3"/>
      <c r="G1241" s="3"/>
    </row>
    <row r="1242" spans="6:7" ht="12.75">
      <c r="F1242" s="3"/>
      <c r="G1242" s="3"/>
    </row>
    <row r="1243" spans="6:7" ht="12.75">
      <c r="F1243" s="3"/>
      <c r="G1243" s="3"/>
    </row>
    <row r="1244" spans="6:7" ht="12.75">
      <c r="F1244" s="3"/>
      <c r="G1244" s="3"/>
    </row>
    <row r="1245" spans="6:7" ht="12.75">
      <c r="F1245" s="3"/>
      <c r="G1245" s="3"/>
    </row>
    <row r="1246" spans="6:7" ht="12.75">
      <c r="F1246" s="3"/>
      <c r="G1246" s="3"/>
    </row>
    <row r="1247" spans="6:7" ht="12.75">
      <c r="F1247" s="3"/>
      <c r="G1247" s="3"/>
    </row>
    <row r="1248" spans="6:7" ht="12.75">
      <c r="F1248" s="3"/>
      <c r="G1248" s="3"/>
    </row>
    <row r="1249" spans="6:7" ht="12.75">
      <c r="F1249" s="3"/>
      <c r="G1249" s="3"/>
    </row>
    <row r="1250" spans="6:7" ht="12.75">
      <c r="F1250" s="3"/>
      <c r="G1250" s="3"/>
    </row>
    <row r="1251" spans="6:7" ht="12.75">
      <c r="F1251" s="3"/>
      <c r="G1251" s="3"/>
    </row>
    <row r="1252" spans="6:7" ht="12.75">
      <c r="F1252" s="3"/>
      <c r="G1252" s="3"/>
    </row>
    <row r="1253" spans="6:7" ht="12.75">
      <c r="F1253" s="3"/>
      <c r="G1253" s="3"/>
    </row>
    <row r="1254" spans="6:7" ht="12.75">
      <c r="F1254" s="3"/>
      <c r="G1254" s="3"/>
    </row>
    <row r="1255" spans="6:7" ht="12.75">
      <c r="F1255" s="3"/>
      <c r="G1255" s="3"/>
    </row>
    <row r="1256" spans="6:7" ht="12.75">
      <c r="F1256" s="3"/>
      <c r="G1256" s="3"/>
    </row>
    <row r="1257" spans="6:7" ht="12.75">
      <c r="F1257" s="3"/>
      <c r="G1257" s="3"/>
    </row>
    <row r="1258" spans="6:7" ht="12.75">
      <c r="F1258" s="3"/>
      <c r="G1258" s="3"/>
    </row>
    <row r="1259" spans="6:7" ht="12.75">
      <c r="F1259" s="3"/>
      <c r="G1259" s="3"/>
    </row>
    <row r="1260" spans="6:7" ht="12.75">
      <c r="F1260" s="3"/>
      <c r="G1260" s="3"/>
    </row>
    <row r="1261" spans="6:7" ht="12.75">
      <c r="F1261" s="3"/>
      <c r="G1261" s="3"/>
    </row>
    <row r="1262" spans="6:7" ht="12.75">
      <c r="F1262" s="3"/>
      <c r="G1262" s="3"/>
    </row>
    <row r="1263" spans="6:7" ht="12.75">
      <c r="F1263" s="3"/>
      <c r="G1263" s="3"/>
    </row>
    <row r="1264" spans="6:7" ht="12.75">
      <c r="F1264" s="3"/>
      <c r="G1264" s="3"/>
    </row>
    <row r="1265" spans="6:7" ht="12.75">
      <c r="F1265" s="3"/>
      <c r="G1265" s="3"/>
    </row>
    <row r="1266" spans="6:7" ht="12.75">
      <c r="F1266" s="3"/>
      <c r="G1266" s="3"/>
    </row>
    <row r="1267" spans="6:7" ht="12.75">
      <c r="F1267" s="3"/>
      <c r="G1267" s="3"/>
    </row>
    <row r="1268" spans="6:7" ht="12.75">
      <c r="F1268" s="3"/>
      <c r="G1268" s="3"/>
    </row>
    <row r="1269" spans="6:7" ht="12.75">
      <c r="F1269" s="3"/>
      <c r="G1269" s="3"/>
    </row>
    <row r="1270" spans="6:7" ht="12.75">
      <c r="F1270" s="3"/>
      <c r="G1270" s="3"/>
    </row>
    <row r="1271" spans="6:7" ht="12.75">
      <c r="F1271" s="3"/>
      <c r="G1271" s="3"/>
    </row>
    <row r="1272" spans="6:7" ht="12.75">
      <c r="F1272" s="3"/>
      <c r="G1272" s="3"/>
    </row>
    <row r="1273" spans="6:7" ht="12.75">
      <c r="F1273" s="3"/>
      <c r="G1273" s="3"/>
    </row>
    <row r="1274" spans="6:7" ht="12.75">
      <c r="F1274" s="3"/>
      <c r="G1274" s="3"/>
    </row>
    <row r="1275" spans="6:7" ht="12.75">
      <c r="F1275" s="3"/>
      <c r="G1275" s="3"/>
    </row>
    <row r="1276" spans="6:7" ht="12.75">
      <c r="F1276" s="3"/>
      <c r="G1276" s="3"/>
    </row>
    <row r="1277" spans="6:7" ht="12.75">
      <c r="F1277" s="3"/>
      <c r="G1277" s="3"/>
    </row>
    <row r="1278" spans="6:7" ht="12.75">
      <c r="F1278" s="3"/>
      <c r="G1278" s="3"/>
    </row>
    <row r="1279" spans="6:7" ht="12.75">
      <c r="F1279" s="3"/>
      <c r="G1279" s="3"/>
    </row>
    <row r="1280" spans="6:7" ht="12.75">
      <c r="F1280" s="3"/>
      <c r="G1280" s="3"/>
    </row>
    <row r="1281" spans="6:7" ht="12.75">
      <c r="F1281" s="3"/>
      <c r="G1281" s="3"/>
    </row>
    <row r="1282" spans="6:7" ht="12.75">
      <c r="F1282" s="3"/>
      <c r="G1282" s="3"/>
    </row>
    <row r="1283" spans="6:7" ht="12.75">
      <c r="F1283" s="3"/>
      <c r="G1283" s="3"/>
    </row>
    <row r="1284" spans="6:7" ht="12.75">
      <c r="F1284" s="3"/>
      <c r="G1284" s="3"/>
    </row>
    <row r="1285" spans="6:7" ht="12.75">
      <c r="F1285" s="3"/>
      <c r="G1285" s="3"/>
    </row>
    <row r="1286" spans="6:7" ht="12.75">
      <c r="F1286" s="3"/>
      <c r="G1286" s="3"/>
    </row>
    <row r="1287" spans="6:7" ht="12.75">
      <c r="F1287" s="3"/>
      <c r="G1287" s="3"/>
    </row>
    <row r="1288" spans="6:7" ht="12.75">
      <c r="F1288" s="3"/>
      <c r="G1288" s="3"/>
    </row>
    <row r="1289" spans="6:7" ht="12.75">
      <c r="F1289" s="3"/>
      <c r="G1289" s="3"/>
    </row>
    <row r="1290" spans="6:7" ht="12.75">
      <c r="F1290" s="3"/>
      <c r="G1290" s="3"/>
    </row>
    <row r="1291" spans="6:7" ht="12.75">
      <c r="F1291" s="3"/>
      <c r="G1291" s="3"/>
    </row>
    <row r="1292" spans="6:7" ht="12.75">
      <c r="F1292" s="3"/>
      <c r="G1292" s="3"/>
    </row>
    <row r="1293" spans="6:7" ht="12.75">
      <c r="F1293" s="3"/>
      <c r="G1293" s="3"/>
    </row>
    <row r="1294" spans="6:7" ht="12.75">
      <c r="F1294" s="3"/>
      <c r="G1294" s="3"/>
    </row>
    <row r="1295" spans="6:7" ht="12.75">
      <c r="F1295" s="3"/>
      <c r="G1295" s="3"/>
    </row>
    <row r="1296" spans="6:7" ht="12.75">
      <c r="F1296" s="3"/>
      <c r="G1296" s="3"/>
    </row>
    <row r="1297" spans="6:7" ht="12.75">
      <c r="F1297" s="3"/>
      <c r="G1297" s="3"/>
    </row>
    <row r="1298" spans="6:7" ht="12.75">
      <c r="F1298" s="3"/>
      <c r="G1298" s="3"/>
    </row>
    <row r="1299" spans="6:7" ht="12.75">
      <c r="F1299" s="3"/>
      <c r="G1299" s="3"/>
    </row>
    <row r="1300" spans="6:7" ht="12.75">
      <c r="F1300" s="3"/>
      <c r="G1300" s="3"/>
    </row>
    <row r="1301" spans="6:7" ht="12.75">
      <c r="F1301" s="3"/>
      <c r="G1301" s="3"/>
    </row>
    <row r="1302" spans="6:7" ht="12.75">
      <c r="F1302" s="3"/>
      <c r="G1302" s="3"/>
    </row>
    <row r="1303" spans="6:7" ht="12.75">
      <c r="F1303" s="3"/>
      <c r="G1303" s="3"/>
    </row>
    <row r="1304" spans="6:7" ht="12.75">
      <c r="F1304" s="3"/>
      <c r="G1304" s="3"/>
    </row>
    <row r="1305" spans="6:7" ht="12.75">
      <c r="F1305" s="3"/>
      <c r="G1305" s="3"/>
    </row>
    <row r="1306" spans="6:7" ht="12.75">
      <c r="F1306" s="3"/>
      <c r="G1306" s="3"/>
    </row>
    <row r="1307" spans="6:7" ht="12.75">
      <c r="F1307" s="3"/>
      <c r="G1307" s="3"/>
    </row>
    <row r="1308" spans="6:7" ht="12.75">
      <c r="F1308" s="3"/>
      <c r="G1308" s="3"/>
    </row>
    <row r="1309" spans="6:7" ht="12.75">
      <c r="F1309" s="3"/>
      <c r="G1309" s="3"/>
    </row>
    <row r="1310" spans="6:7" ht="12.75">
      <c r="F1310" s="3"/>
      <c r="G1310" s="3"/>
    </row>
    <row r="1311" spans="6:7" ht="12.75">
      <c r="F1311" s="3"/>
      <c r="G1311" s="3"/>
    </row>
    <row r="1312" spans="6:7" ht="12.75">
      <c r="F1312" s="3"/>
      <c r="G1312" s="3"/>
    </row>
    <row r="1313" spans="6:7" ht="12.75">
      <c r="F1313" s="3"/>
      <c r="G1313" s="3"/>
    </row>
    <row r="1314" spans="6:7" ht="12.75">
      <c r="F1314" s="3"/>
      <c r="G1314" s="3"/>
    </row>
    <row r="1315" spans="6:7" ht="12.75">
      <c r="F1315" s="3"/>
      <c r="G1315" s="3"/>
    </row>
    <row r="1316" spans="6:7" ht="12.75">
      <c r="F1316" s="3"/>
      <c r="G1316" s="3"/>
    </row>
    <row r="1317" spans="6:7" ht="12.75">
      <c r="F1317" s="3"/>
      <c r="G1317" s="3"/>
    </row>
    <row r="1318" spans="6:7" ht="12.75">
      <c r="F1318" s="3"/>
      <c r="G1318" s="3"/>
    </row>
    <row r="1319" spans="6:7" ht="12.75">
      <c r="F1319" s="3"/>
      <c r="G1319" s="3"/>
    </row>
    <row r="1320" spans="6:7" ht="12.75">
      <c r="F1320" s="3"/>
      <c r="G1320" s="3"/>
    </row>
    <row r="1321" spans="6:7" ht="12.75">
      <c r="F1321" s="3"/>
      <c r="G1321" s="3"/>
    </row>
    <row r="1322" spans="6:7" ht="12.75">
      <c r="F1322" s="3"/>
      <c r="G1322" s="3"/>
    </row>
    <row r="1323" spans="6:7" ht="12.75">
      <c r="F1323" s="3"/>
      <c r="G1323" s="3"/>
    </row>
    <row r="1324" spans="6:7" ht="12.75">
      <c r="F1324" s="3"/>
      <c r="G1324" s="3"/>
    </row>
    <row r="1325" spans="6:7" ht="12.75">
      <c r="F1325" s="3"/>
      <c r="G1325" s="3"/>
    </row>
    <row r="1326" spans="6:7" ht="12.75">
      <c r="F1326" s="3"/>
      <c r="G1326" s="3"/>
    </row>
    <row r="1327" spans="6:7" ht="12.75">
      <c r="F1327" s="3"/>
      <c r="G1327" s="3"/>
    </row>
    <row r="1328" spans="6:7" ht="12.75">
      <c r="F1328" s="3"/>
      <c r="G1328" s="3"/>
    </row>
    <row r="1329" spans="6:7" ht="12.75">
      <c r="F1329" s="3"/>
      <c r="G1329" s="3"/>
    </row>
    <row r="1330" spans="6:7" ht="12.75">
      <c r="F1330" s="3"/>
      <c r="G1330" s="3"/>
    </row>
    <row r="1331" spans="6:7" ht="12.75">
      <c r="F1331" s="3"/>
      <c r="G1331" s="3"/>
    </row>
    <row r="1332" spans="6:7" ht="12.75">
      <c r="F1332" s="3"/>
      <c r="G1332" s="3"/>
    </row>
    <row r="1333" spans="6:7" ht="12.75">
      <c r="F1333" s="3"/>
      <c r="G1333" s="3"/>
    </row>
    <row r="1334" spans="6:7" ht="12.75">
      <c r="F1334" s="3"/>
      <c r="G1334" s="3"/>
    </row>
    <row r="1335" spans="6:7" ht="12.75">
      <c r="F1335" s="3"/>
      <c r="G1335" s="3"/>
    </row>
    <row r="1336" spans="6:7" ht="12.75">
      <c r="F1336" s="3"/>
      <c r="G1336" s="3"/>
    </row>
    <row r="1337" spans="6:7" ht="12.75">
      <c r="F1337" s="3"/>
      <c r="G1337" s="3"/>
    </row>
    <row r="1338" spans="6:7" ht="12.75">
      <c r="F1338" s="3"/>
      <c r="G1338" s="3"/>
    </row>
    <row r="1339" spans="6:7" ht="12.75">
      <c r="F1339" s="3"/>
      <c r="G1339" s="3"/>
    </row>
    <row r="1340" spans="6:7" ht="12.75">
      <c r="F1340" s="3"/>
      <c r="G1340" s="3"/>
    </row>
    <row r="1341" spans="6:7" ht="12.75">
      <c r="F1341" s="3"/>
      <c r="G1341" s="3"/>
    </row>
    <row r="1342" spans="6:7" ht="12.75">
      <c r="F1342" s="3"/>
      <c r="G1342" s="3"/>
    </row>
    <row r="1343" spans="6:7" ht="12.75">
      <c r="F1343" s="3"/>
      <c r="G1343" s="3"/>
    </row>
    <row r="1344" spans="6:7" ht="12.75">
      <c r="F1344" s="3"/>
      <c r="G1344" s="3"/>
    </row>
    <row r="1345" spans="6:7" ht="12.75">
      <c r="F1345" s="3"/>
      <c r="G1345" s="3"/>
    </row>
    <row r="1346" spans="6:7" ht="12.75">
      <c r="F1346" s="3"/>
      <c r="G1346" s="3"/>
    </row>
    <row r="1347" spans="6:7" ht="12.75">
      <c r="F1347" s="3"/>
      <c r="G1347" s="3"/>
    </row>
    <row r="1348" spans="6:7" ht="12.75">
      <c r="F1348" s="3"/>
      <c r="G1348" s="3"/>
    </row>
    <row r="1349" spans="6:7" ht="12.75">
      <c r="F1349" s="3"/>
      <c r="G1349" s="3"/>
    </row>
    <row r="1350" spans="6:7" ht="12.75">
      <c r="F1350" s="3"/>
      <c r="G1350" s="3"/>
    </row>
    <row r="1351" spans="6:7" ht="12.75">
      <c r="F1351" s="3"/>
      <c r="G1351" s="3"/>
    </row>
    <row r="1352" spans="6:7" ht="12.75">
      <c r="F1352" s="3"/>
      <c r="G1352" s="3"/>
    </row>
    <row r="1353" spans="6:7" ht="12.75">
      <c r="F1353" s="3"/>
      <c r="G1353" s="3"/>
    </row>
    <row r="1354" spans="6:7" ht="12.75">
      <c r="F1354" s="3"/>
      <c r="G1354" s="3"/>
    </row>
    <row r="1355" spans="6:7" ht="12.75">
      <c r="F1355" s="3"/>
      <c r="G1355" s="3"/>
    </row>
    <row r="1356" spans="6:7" ht="12.75">
      <c r="F1356" s="3"/>
      <c r="G1356" s="3"/>
    </row>
    <row r="1357" spans="6:7" ht="12.75">
      <c r="F1357" s="3"/>
      <c r="G1357" s="3"/>
    </row>
    <row r="1358" spans="6:7" ht="12.75">
      <c r="F1358" s="3"/>
      <c r="G1358" s="3"/>
    </row>
    <row r="1359" spans="6:7" ht="12.75">
      <c r="F1359" s="3"/>
      <c r="G1359" s="3"/>
    </row>
    <row r="1360" spans="6:7" ht="12.75">
      <c r="F1360" s="3"/>
      <c r="G1360" s="3"/>
    </row>
    <row r="1361" spans="6:7" ht="12.75">
      <c r="F1361" s="3"/>
      <c r="G1361" s="3"/>
    </row>
    <row r="1362" spans="6:7" ht="12.75">
      <c r="F1362" s="3"/>
      <c r="G1362" s="3"/>
    </row>
    <row r="1363" spans="6:7" ht="12.75">
      <c r="F1363" s="3"/>
      <c r="G1363" s="3"/>
    </row>
    <row r="1364" spans="6:7" ht="12.75">
      <c r="F1364" s="3"/>
      <c r="G1364" s="3"/>
    </row>
    <row r="1365" spans="6:7" ht="12.75">
      <c r="F1365" s="3"/>
      <c r="G1365" s="3"/>
    </row>
    <row r="1366" spans="6:7" ht="12.75">
      <c r="F1366" s="3"/>
      <c r="G1366" s="3"/>
    </row>
    <row r="1367" spans="6:7" ht="12.75">
      <c r="F1367" s="3"/>
      <c r="G1367" s="3"/>
    </row>
    <row r="1368" spans="6:7" ht="12.75">
      <c r="F1368" s="3"/>
      <c r="G1368" s="3"/>
    </row>
    <row r="1369" spans="6:7" ht="12.75">
      <c r="F1369" s="3"/>
      <c r="G1369" s="3"/>
    </row>
    <row r="1370" spans="6:7" ht="12.75">
      <c r="F1370" s="3"/>
      <c r="G1370" s="3"/>
    </row>
    <row r="1371" spans="6:7" ht="12.75">
      <c r="F1371" s="3"/>
      <c r="G1371" s="3"/>
    </row>
    <row r="1372" spans="6:7" ht="12.75">
      <c r="F1372" s="3"/>
      <c r="G1372" s="3"/>
    </row>
    <row r="1373" spans="6:7" ht="12.75">
      <c r="F1373" s="3"/>
      <c r="G1373" s="3"/>
    </row>
    <row r="1374" spans="6:7" ht="12.75">
      <c r="F1374" s="3"/>
      <c r="G1374" s="3"/>
    </row>
    <row r="1375" spans="6:7" ht="12.75">
      <c r="F1375" s="3"/>
      <c r="G1375" s="3"/>
    </row>
    <row r="1376" spans="6:7" ht="12.75">
      <c r="F1376" s="3"/>
      <c r="G1376" s="3"/>
    </row>
    <row r="1377" spans="6:7" ht="12.75">
      <c r="F1377" s="3"/>
      <c r="G1377" s="3"/>
    </row>
    <row r="1378" spans="6:7" ht="12.75">
      <c r="F1378" s="3"/>
      <c r="G1378" s="3"/>
    </row>
    <row r="1379" spans="6:7" ht="12.75">
      <c r="F1379" s="3"/>
      <c r="G1379" s="3"/>
    </row>
    <row r="1380" spans="6:7" ht="12.75">
      <c r="F1380" s="3"/>
      <c r="G1380" s="3"/>
    </row>
    <row r="1381" spans="6:7" ht="12.75">
      <c r="F1381" s="3"/>
      <c r="G1381" s="3"/>
    </row>
    <row r="1382" spans="6:7" ht="12.75">
      <c r="F1382" s="3"/>
      <c r="G1382" s="3"/>
    </row>
    <row r="1383" spans="6:7" ht="12.75">
      <c r="F1383" s="3"/>
      <c r="G1383" s="3"/>
    </row>
    <row r="1384" spans="6:7" ht="12.75">
      <c r="F1384" s="3"/>
      <c r="G1384" s="3"/>
    </row>
    <row r="1385" spans="6:7" ht="12.75">
      <c r="F1385" s="3"/>
      <c r="G1385" s="3"/>
    </row>
    <row r="1386" spans="6:7" ht="12.75">
      <c r="F1386" s="3"/>
      <c r="G1386" s="3"/>
    </row>
    <row r="1387" spans="6:7" ht="12.75">
      <c r="F1387" s="3"/>
      <c r="G1387" s="3"/>
    </row>
    <row r="1388" spans="6:7" ht="12.75">
      <c r="F1388" s="3"/>
      <c r="G1388" s="3"/>
    </row>
    <row r="1389" spans="6:7" ht="12.75">
      <c r="F1389" s="3"/>
      <c r="G1389" s="3"/>
    </row>
    <row r="1390" spans="6:7" ht="12.75">
      <c r="F1390" s="3"/>
      <c r="G1390" s="3"/>
    </row>
    <row r="1391" spans="6:7" ht="12.75">
      <c r="F1391" s="3"/>
      <c r="G1391" s="3"/>
    </row>
    <row r="1392" spans="6:7" ht="12.75">
      <c r="F1392" s="3"/>
      <c r="G1392" s="3"/>
    </row>
    <row r="1393" spans="6:7" ht="12.75">
      <c r="F1393" s="3"/>
      <c r="G1393" s="3"/>
    </row>
    <row r="1394" spans="6:7" ht="12.75">
      <c r="F1394" s="3"/>
      <c r="G1394" s="3"/>
    </row>
    <row r="1395" spans="6:7" ht="12.75">
      <c r="F1395" s="3"/>
      <c r="G1395" s="3"/>
    </row>
    <row r="1396" spans="6:7" ht="12.75">
      <c r="F1396" s="3"/>
      <c r="G1396" s="3"/>
    </row>
    <row r="1397" spans="6:7" ht="12.75">
      <c r="F1397" s="3"/>
      <c r="G1397" s="3"/>
    </row>
    <row r="1398" spans="6:7" ht="12.75">
      <c r="F1398" s="3"/>
      <c r="G1398" s="3"/>
    </row>
    <row r="1399" spans="6:7" ht="12.75">
      <c r="F1399" s="3"/>
      <c r="G1399" s="3"/>
    </row>
    <row r="1400" spans="6:7" ht="12.75">
      <c r="F1400" s="3"/>
      <c r="G1400" s="3"/>
    </row>
    <row r="1401" spans="6:7" ht="12.75">
      <c r="F1401" s="3"/>
      <c r="G1401" s="3"/>
    </row>
    <row r="1402" spans="6:7" ht="12.75">
      <c r="F1402" s="3"/>
      <c r="G1402" s="3"/>
    </row>
    <row r="1403" spans="6:7" ht="12.75">
      <c r="F1403" s="3"/>
      <c r="G1403" s="3"/>
    </row>
    <row r="1404" spans="6:7" ht="12.75">
      <c r="F1404" s="3"/>
      <c r="G1404" s="3"/>
    </row>
    <row r="1405" spans="6:7" ht="12.75">
      <c r="F1405" s="3"/>
      <c r="G1405" s="3"/>
    </row>
    <row r="1406" spans="6:7" ht="12.75">
      <c r="F1406" s="3"/>
      <c r="G1406" s="3"/>
    </row>
    <row r="1407" spans="6:7" ht="12.75">
      <c r="F1407" s="3"/>
      <c r="G1407" s="3"/>
    </row>
    <row r="1408" spans="6:7" ht="12.75">
      <c r="F1408" s="3"/>
      <c r="G1408" s="3"/>
    </row>
    <row r="1409" spans="6:7" ht="12.75">
      <c r="F1409" s="3"/>
      <c r="G1409" s="3"/>
    </row>
    <row r="1410" spans="6:7" ht="12.75">
      <c r="F1410" s="3"/>
      <c r="G1410" s="3"/>
    </row>
    <row r="1411" spans="6:7" ht="12.75">
      <c r="F1411" s="3"/>
      <c r="G1411" s="3"/>
    </row>
    <row r="1412" ht="12.75">
      <c r="G1412" s="3"/>
    </row>
    <row r="1413" ht="12.75">
      <c r="G1413" s="3"/>
    </row>
    <row r="1414" ht="12.75">
      <c r="G1414" s="3"/>
    </row>
    <row r="1415" ht="12.75">
      <c r="G1415" s="3"/>
    </row>
    <row r="1416" ht="12.75">
      <c r="G1416" s="3"/>
    </row>
    <row r="1417" ht="12.75">
      <c r="G1417" s="3"/>
    </row>
    <row r="1418" ht="12.75">
      <c r="G1418" s="3"/>
    </row>
    <row r="1419" ht="12.75">
      <c r="G1419" s="3"/>
    </row>
    <row r="1420" ht="12.75">
      <c r="G1420" s="3"/>
    </row>
    <row r="1421" ht="12.75">
      <c r="G1421" s="3"/>
    </row>
    <row r="1422" ht="12.75">
      <c r="G1422" s="3"/>
    </row>
    <row r="1423" ht="12.75">
      <c r="G1423" s="3"/>
    </row>
    <row r="1424" ht="12.75">
      <c r="G1424" s="3"/>
    </row>
    <row r="1425" ht="12.75">
      <c r="G1425" s="3"/>
    </row>
    <row r="1426" ht="12.75">
      <c r="G1426" s="3"/>
    </row>
    <row r="1427" ht="12.75">
      <c r="G1427" s="3"/>
    </row>
    <row r="1428" ht="12.75">
      <c r="G1428" s="3"/>
    </row>
    <row r="1429" ht="12.75">
      <c r="G1429" s="3"/>
    </row>
    <row r="1430" ht="12.75">
      <c r="G1430" s="3"/>
    </row>
    <row r="1431" ht="12.75">
      <c r="G1431" s="3"/>
    </row>
    <row r="1432" ht="12.75">
      <c r="G1432" s="3"/>
    </row>
    <row r="1433" ht="12.75">
      <c r="G1433" s="3"/>
    </row>
    <row r="1434" ht="12.75">
      <c r="G1434" s="3"/>
    </row>
    <row r="1435" ht="12.75">
      <c r="G1435" s="3"/>
    </row>
    <row r="1436" ht="12.75">
      <c r="G1436" s="3"/>
    </row>
    <row r="1437" ht="12.75">
      <c r="G1437" s="3"/>
    </row>
    <row r="1438" ht="12.75">
      <c r="G1438" s="3"/>
    </row>
    <row r="1439" ht="12.75">
      <c r="G1439" s="3"/>
    </row>
    <row r="1440" ht="12.75">
      <c r="G1440" s="3"/>
    </row>
    <row r="1441" ht="12.75">
      <c r="G1441" s="3"/>
    </row>
    <row r="1442" ht="12.75">
      <c r="G1442" s="3"/>
    </row>
    <row r="1443" ht="12.75">
      <c r="G1443" s="3"/>
    </row>
    <row r="1444" ht="12.75">
      <c r="G1444" s="3"/>
    </row>
    <row r="1445" ht="12.75">
      <c r="G1445" s="3"/>
    </row>
    <row r="1446" ht="12.75">
      <c r="G1446" s="3"/>
    </row>
    <row r="1447" ht="12.75">
      <c r="G1447" s="3"/>
    </row>
    <row r="1448" ht="12.75">
      <c r="G1448" s="3"/>
    </row>
    <row r="1449" ht="12.75">
      <c r="G1449" s="3"/>
    </row>
    <row r="1450" ht="12.75">
      <c r="G1450" s="3"/>
    </row>
    <row r="1451" ht="12.75">
      <c r="G1451" s="3"/>
    </row>
    <row r="1452" ht="12.75">
      <c r="G1452" s="3"/>
    </row>
    <row r="1453" ht="12.75">
      <c r="G1453" s="3"/>
    </row>
    <row r="1454" ht="12.75">
      <c r="G1454" s="3"/>
    </row>
    <row r="1455" ht="12.75">
      <c r="G1455" s="3"/>
    </row>
    <row r="1456" ht="12.75">
      <c r="G1456" s="3"/>
    </row>
    <row r="1457" ht="12.75">
      <c r="G1457" s="3"/>
    </row>
    <row r="1458" ht="12.75">
      <c r="G1458" s="3"/>
    </row>
    <row r="1459" ht="12.75">
      <c r="G1459" s="3"/>
    </row>
    <row r="1460" ht="12.75">
      <c r="G1460" s="3"/>
    </row>
    <row r="1461" ht="12.75">
      <c r="G1461" s="3"/>
    </row>
    <row r="1462" ht="12.75">
      <c r="G1462" s="3"/>
    </row>
    <row r="1463" ht="12.75">
      <c r="G1463" s="3"/>
    </row>
    <row r="1464" ht="12.75">
      <c r="G1464" s="3"/>
    </row>
    <row r="1465" ht="12.75">
      <c r="G1465" s="3"/>
    </row>
    <row r="1466" ht="12.75">
      <c r="G1466" s="3"/>
    </row>
    <row r="1467" ht="12.75">
      <c r="G1467" s="3"/>
    </row>
    <row r="1468" ht="12.75">
      <c r="G1468" s="3"/>
    </row>
    <row r="1469" ht="12.75">
      <c r="G1469" s="3"/>
    </row>
    <row r="1470" ht="12.75">
      <c r="G1470" s="3"/>
    </row>
  </sheetData>
  <sheetProtection/>
  <mergeCells count="13">
    <mergeCell ref="A1:B1"/>
    <mergeCell ref="A3:A4"/>
    <mergeCell ref="B3:B4"/>
    <mergeCell ref="F3:F4"/>
    <mergeCell ref="L3:L4"/>
    <mergeCell ref="H3:H4"/>
    <mergeCell ref="I3:I4"/>
    <mergeCell ref="J3:J4"/>
    <mergeCell ref="C3:C4"/>
    <mergeCell ref="D3:D4"/>
    <mergeCell ref="E3:E4"/>
    <mergeCell ref="K3:K4"/>
    <mergeCell ref="G3:G4"/>
  </mergeCells>
  <printOptions/>
  <pageMargins left="0" right="0" top="0" bottom="0" header="0" footer="0.11811023622047245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6"/>
  <sheetViews>
    <sheetView zoomScale="75" zoomScaleNormal="75" zoomScalePageLayoutView="0" workbookViewId="0" topLeftCell="A31">
      <selection activeCell="J9" sqref="J9"/>
    </sheetView>
  </sheetViews>
  <sheetFormatPr defaultColWidth="11.421875" defaultRowHeight="12.75"/>
  <cols>
    <col min="1" max="1" width="29.8515625" style="0" customWidth="1"/>
    <col min="2" max="2" width="27.140625" style="0" customWidth="1"/>
    <col min="3" max="3" width="16.8515625" style="0" customWidth="1"/>
    <col min="4" max="4" width="17.8515625" style="0" customWidth="1"/>
    <col min="5" max="5" width="5.00390625" style="579" customWidth="1"/>
    <col min="6" max="6" width="17.57421875" style="0" customWidth="1"/>
    <col min="7" max="7" width="19.7109375" style="0" customWidth="1"/>
    <col min="8" max="9" width="17.00390625" style="0" customWidth="1"/>
    <col min="10" max="10" width="18.421875" style="0" customWidth="1"/>
    <col min="12" max="16384" width="11.421875" style="220" customWidth="1"/>
  </cols>
  <sheetData>
    <row r="3" spans="1:3" ht="15">
      <c r="A3" s="2" t="s">
        <v>42</v>
      </c>
      <c r="B3" s="65"/>
      <c r="C3" s="2" t="s">
        <v>127</v>
      </c>
    </row>
    <row r="4" ht="13.5" thickBot="1"/>
    <row r="5" spans="1:11" ht="13.5" customHeight="1" thickBot="1">
      <c r="A5" s="833" t="s">
        <v>4</v>
      </c>
      <c r="B5" s="833" t="s">
        <v>5</v>
      </c>
      <c r="C5" s="829" t="s">
        <v>20</v>
      </c>
      <c r="D5" s="831" t="s">
        <v>7</v>
      </c>
      <c r="E5" s="818"/>
      <c r="F5" s="836" t="s">
        <v>56</v>
      </c>
      <c r="G5" s="831" t="s">
        <v>40</v>
      </c>
      <c r="H5" s="817" t="s">
        <v>120</v>
      </c>
      <c r="I5" s="817" t="s">
        <v>119</v>
      </c>
      <c r="J5" s="817" t="s">
        <v>121</v>
      </c>
      <c r="K5" s="835" t="s">
        <v>2</v>
      </c>
    </row>
    <row r="6" spans="1:11" ht="27" customHeight="1" thickBot="1">
      <c r="A6" s="834"/>
      <c r="B6" s="834"/>
      <c r="C6" s="830"/>
      <c r="D6" s="832"/>
      <c r="E6" s="819"/>
      <c r="F6" s="813"/>
      <c r="G6" s="832"/>
      <c r="H6" s="813"/>
      <c r="I6" s="814"/>
      <c r="J6" s="814"/>
      <c r="K6" s="824"/>
    </row>
    <row r="7" spans="1:11" ht="12.75">
      <c r="A7" s="4"/>
      <c r="B7" s="5"/>
      <c r="C7" s="47"/>
      <c r="D7" s="4"/>
      <c r="E7" s="580"/>
      <c r="F7" s="5"/>
      <c r="G7" s="6"/>
      <c r="H7" s="4"/>
      <c r="I7" s="47"/>
      <c r="J7" s="6"/>
      <c r="K7" s="76"/>
    </row>
    <row r="8" spans="1:11" ht="12.75">
      <c r="A8" s="223" t="s">
        <v>45</v>
      </c>
      <c r="B8" s="224" t="s">
        <v>49</v>
      </c>
      <c r="C8" s="225" t="s">
        <v>43</v>
      </c>
      <c r="D8" s="226">
        <v>278549.97</v>
      </c>
      <c r="E8" s="581"/>
      <c r="F8" s="227">
        <v>8300</v>
      </c>
      <c r="G8" s="152">
        <f>D8+F8</f>
        <v>286849.97</v>
      </c>
      <c r="H8" s="226">
        <v>266481.77</v>
      </c>
      <c r="I8" s="228">
        <v>6047.9</v>
      </c>
      <c r="J8" s="229">
        <f>I8+H8</f>
        <v>272529.67000000004</v>
      </c>
      <c r="K8" s="230">
        <f>J8/G8</f>
        <v>0.9500773871442276</v>
      </c>
    </row>
    <row r="9" spans="1:11" ht="12.75">
      <c r="A9" s="7"/>
      <c r="B9" s="8"/>
      <c r="C9" s="49"/>
      <c r="D9" s="7"/>
      <c r="E9" s="582"/>
      <c r="F9" s="8"/>
      <c r="G9" s="58"/>
      <c r="H9" s="69"/>
      <c r="I9" s="48"/>
      <c r="J9" s="79"/>
      <c r="K9" s="77"/>
    </row>
    <row r="10" spans="1:11" ht="12.75">
      <c r="A10" s="189" t="s">
        <v>46</v>
      </c>
      <c r="B10" s="190" t="s">
        <v>47</v>
      </c>
      <c r="C10" s="191" t="s">
        <v>10</v>
      </c>
      <c r="D10" s="192">
        <v>12858.48</v>
      </c>
      <c r="E10" s="179" t="s">
        <v>105</v>
      </c>
      <c r="F10" s="180">
        <v>0</v>
      </c>
      <c r="G10" s="181">
        <f>D10+F10</f>
        <v>12858.48</v>
      </c>
      <c r="H10" s="192">
        <v>12858.48</v>
      </c>
      <c r="I10" s="193">
        <v>0</v>
      </c>
      <c r="J10" s="194">
        <f aca="true" t="shared" si="0" ref="J10:J38">I10+H10</f>
        <v>12858.48</v>
      </c>
      <c r="K10" s="231">
        <f aca="true" t="shared" si="1" ref="K10:K38">J10/G10</f>
        <v>1</v>
      </c>
    </row>
    <row r="11" spans="1:11" ht="12.75">
      <c r="A11" s="7"/>
      <c r="B11" s="8"/>
      <c r="C11" s="49"/>
      <c r="D11" s="69"/>
      <c r="E11" s="582"/>
      <c r="F11" s="10"/>
      <c r="G11" s="58"/>
      <c r="H11" s="69"/>
      <c r="I11" s="48"/>
      <c r="J11" s="79"/>
      <c r="K11" s="77"/>
    </row>
    <row r="12" spans="1:11" ht="12.75">
      <c r="A12" s="223" t="s">
        <v>45</v>
      </c>
      <c r="B12" s="224" t="s">
        <v>48</v>
      </c>
      <c r="C12" s="225" t="s">
        <v>10</v>
      </c>
      <c r="D12" s="226">
        <v>30873.6</v>
      </c>
      <c r="E12" s="581" t="s">
        <v>105</v>
      </c>
      <c r="F12" s="160">
        <v>0</v>
      </c>
      <c r="G12" s="152">
        <f>D12+F12</f>
        <v>30873.6</v>
      </c>
      <c r="H12" s="226">
        <v>30873.6</v>
      </c>
      <c r="I12" s="228">
        <v>0</v>
      </c>
      <c r="J12" s="229">
        <f t="shared" si="0"/>
        <v>30873.6</v>
      </c>
      <c r="K12" s="230">
        <f t="shared" si="1"/>
        <v>1</v>
      </c>
    </row>
    <row r="13" spans="1:11" ht="12.75">
      <c r="A13" s="7"/>
      <c r="B13" s="8"/>
      <c r="C13" s="49"/>
      <c r="D13" s="69"/>
      <c r="E13" s="582"/>
      <c r="F13" s="10"/>
      <c r="G13" s="58"/>
      <c r="H13" s="7"/>
      <c r="I13" s="49"/>
      <c r="J13" s="79"/>
      <c r="K13" s="77"/>
    </row>
    <row r="14" spans="1:11" ht="12.75">
      <c r="A14" s="223" t="s">
        <v>45</v>
      </c>
      <c r="B14" s="224" t="s">
        <v>44</v>
      </c>
      <c r="C14" s="225" t="s">
        <v>43</v>
      </c>
      <c r="D14" s="150">
        <v>79384.5</v>
      </c>
      <c r="E14" s="583"/>
      <c r="F14" s="151">
        <v>3000</v>
      </c>
      <c r="G14" s="152">
        <f>D14+F14</f>
        <v>82384.5</v>
      </c>
      <c r="H14" s="150">
        <v>75944.5</v>
      </c>
      <c r="I14" s="153">
        <v>2308.44</v>
      </c>
      <c r="J14" s="229">
        <f t="shared" si="0"/>
        <v>78252.94</v>
      </c>
      <c r="K14" s="230">
        <f t="shared" si="1"/>
        <v>0.9498502752338123</v>
      </c>
    </row>
    <row r="15" spans="1:11" ht="12.75">
      <c r="A15" s="16"/>
      <c r="B15" s="9"/>
      <c r="C15" s="67"/>
      <c r="D15" s="70"/>
      <c r="E15" s="582"/>
      <c r="F15" s="10"/>
      <c r="G15" s="58"/>
      <c r="H15" s="70"/>
      <c r="I15" s="50"/>
      <c r="J15" s="79"/>
      <c r="K15" s="77"/>
    </row>
    <row r="16" spans="1:11" ht="12.75">
      <c r="A16" s="223" t="s">
        <v>45</v>
      </c>
      <c r="B16" s="224" t="s">
        <v>69</v>
      </c>
      <c r="C16" s="225" t="s">
        <v>43</v>
      </c>
      <c r="D16" s="159">
        <v>471860.62</v>
      </c>
      <c r="E16" s="581"/>
      <c r="F16" s="160">
        <v>24000</v>
      </c>
      <c r="G16" s="152">
        <f>D16+F16</f>
        <v>495860.62</v>
      </c>
      <c r="H16" s="159">
        <v>391952.48</v>
      </c>
      <c r="I16" s="161">
        <v>13571.58</v>
      </c>
      <c r="J16" s="229">
        <f t="shared" si="0"/>
        <v>405524.06</v>
      </c>
      <c r="K16" s="230">
        <f t="shared" si="1"/>
        <v>0.8178186442795154</v>
      </c>
    </row>
    <row r="17" spans="1:11" ht="12.75">
      <c r="A17" s="16"/>
      <c r="B17" s="9"/>
      <c r="C17" s="67"/>
      <c r="D17" s="70"/>
      <c r="E17" s="582"/>
      <c r="F17" s="10"/>
      <c r="G17" s="58"/>
      <c r="H17" s="70"/>
      <c r="I17" s="50"/>
      <c r="J17" s="79"/>
      <c r="K17" s="77"/>
    </row>
    <row r="18" spans="1:11" ht="12.75">
      <c r="A18" s="165" t="s">
        <v>84</v>
      </c>
      <c r="B18" s="165" t="s">
        <v>476</v>
      </c>
      <c r="C18" s="167" t="s">
        <v>10</v>
      </c>
      <c r="D18" s="168">
        <v>148491.37</v>
      </c>
      <c r="E18" s="173"/>
      <c r="F18" s="169">
        <v>5000</v>
      </c>
      <c r="G18" s="170">
        <f>D18+F18</f>
        <v>153491.37</v>
      </c>
      <c r="H18" s="168">
        <v>134027.71</v>
      </c>
      <c r="I18" s="171">
        <v>3439.37</v>
      </c>
      <c r="J18" s="232">
        <f t="shared" si="0"/>
        <v>137467.08</v>
      </c>
      <c r="K18" s="233">
        <f t="shared" si="1"/>
        <v>0.895601361822492</v>
      </c>
    </row>
    <row r="19" spans="1:11" ht="12.75">
      <c r="A19" s="16"/>
      <c r="B19" s="9"/>
      <c r="C19" s="67"/>
      <c r="D19" s="70"/>
      <c r="E19" s="582"/>
      <c r="F19" s="10"/>
      <c r="G19" s="58"/>
      <c r="H19" s="70"/>
      <c r="I19" s="50" t="s">
        <v>340</v>
      </c>
      <c r="J19" s="79"/>
      <c r="K19" s="77"/>
    </row>
    <row r="20" spans="1:11" ht="12.75">
      <c r="A20" s="176" t="s">
        <v>93</v>
      </c>
      <c r="B20" s="176" t="s">
        <v>102</v>
      </c>
      <c r="C20" s="177" t="s">
        <v>10</v>
      </c>
      <c r="D20" s="178">
        <v>20403.76</v>
      </c>
      <c r="E20" s="179" t="s">
        <v>105</v>
      </c>
      <c r="F20" s="180">
        <v>0</v>
      </c>
      <c r="G20" s="181">
        <f>D20+F20</f>
        <v>20403.76</v>
      </c>
      <c r="H20" s="178">
        <v>20403.76</v>
      </c>
      <c r="I20" s="182">
        <v>0</v>
      </c>
      <c r="J20" s="194">
        <f t="shared" si="0"/>
        <v>20403.76</v>
      </c>
      <c r="K20" s="231">
        <f t="shared" si="1"/>
        <v>1</v>
      </c>
    </row>
    <row r="21" spans="1:11" ht="12.75">
      <c r="A21" s="16"/>
      <c r="B21" s="9"/>
      <c r="C21" s="67"/>
      <c r="D21" s="70"/>
      <c r="E21" s="582"/>
      <c r="F21" s="10"/>
      <c r="G21" s="58"/>
      <c r="H21" s="70"/>
      <c r="I21" s="50"/>
      <c r="J21" s="79"/>
      <c r="K21" s="77"/>
    </row>
    <row r="22" spans="1:11" ht="12.75">
      <c r="A22" s="223" t="s">
        <v>45</v>
      </c>
      <c r="B22" s="224" t="s">
        <v>94</v>
      </c>
      <c r="C22" s="158" t="s">
        <v>96</v>
      </c>
      <c r="D22" s="159">
        <v>8192.6</v>
      </c>
      <c r="E22" s="581" t="s">
        <v>105</v>
      </c>
      <c r="F22" s="160">
        <v>0</v>
      </c>
      <c r="G22" s="152">
        <f>D22+F22</f>
        <v>8192.6</v>
      </c>
      <c r="H22" s="159">
        <v>8192.6</v>
      </c>
      <c r="I22" s="161">
        <v>0</v>
      </c>
      <c r="J22" s="229">
        <f t="shared" si="0"/>
        <v>8192.6</v>
      </c>
      <c r="K22" s="230">
        <f t="shared" si="1"/>
        <v>1</v>
      </c>
    </row>
    <row r="23" spans="1:11" ht="12.75">
      <c r="A23" s="16"/>
      <c r="B23" s="9"/>
      <c r="C23" s="67"/>
      <c r="D23" s="70"/>
      <c r="E23" s="582"/>
      <c r="F23" s="10"/>
      <c r="G23" s="58"/>
      <c r="H23" s="70"/>
      <c r="I23" s="50"/>
      <c r="J23" s="79"/>
      <c r="K23" s="77"/>
    </row>
    <row r="24" spans="1:11" ht="12.75">
      <c r="A24" s="223" t="s">
        <v>45</v>
      </c>
      <c r="B24" s="224" t="s">
        <v>95</v>
      </c>
      <c r="C24" s="158" t="s">
        <v>96</v>
      </c>
      <c r="D24" s="159">
        <v>23764.52</v>
      </c>
      <c r="E24" s="581" t="s">
        <v>105</v>
      </c>
      <c r="F24" s="160">
        <v>0</v>
      </c>
      <c r="G24" s="152">
        <f>D24+F24</f>
        <v>23764.52</v>
      </c>
      <c r="H24" s="159">
        <v>23764.52</v>
      </c>
      <c r="I24" s="161">
        <v>0</v>
      </c>
      <c r="J24" s="229">
        <f t="shared" si="0"/>
        <v>23764.52</v>
      </c>
      <c r="K24" s="230">
        <f t="shared" si="1"/>
        <v>1</v>
      </c>
    </row>
    <row r="25" spans="1:11" ht="12.75">
      <c r="A25" s="16"/>
      <c r="B25" s="9"/>
      <c r="C25" s="67"/>
      <c r="D25" s="70"/>
      <c r="E25" s="582"/>
      <c r="F25" s="10"/>
      <c r="G25" s="58"/>
      <c r="H25" s="70"/>
      <c r="I25" s="50"/>
      <c r="J25" s="79"/>
      <c r="K25" s="77"/>
    </row>
    <row r="26" spans="1:11" ht="12.75">
      <c r="A26" s="223" t="s">
        <v>45</v>
      </c>
      <c r="B26" s="157" t="s">
        <v>101</v>
      </c>
      <c r="C26" s="158" t="s">
        <v>96</v>
      </c>
      <c r="D26" s="159">
        <v>32850.95</v>
      </c>
      <c r="E26" s="581" t="s">
        <v>105</v>
      </c>
      <c r="F26" s="160">
        <v>1000</v>
      </c>
      <c r="G26" s="152">
        <f>D26+F26</f>
        <v>33850.95</v>
      </c>
      <c r="H26" s="159">
        <v>32850.93</v>
      </c>
      <c r="I26" s="161">
        <v>449.71</v>
      </c>
      <c r="J26" s="229">
        <f t="shared" si="0"/>
        <v>33300.64</v>
      </c>
      <c r="K26" s="230">
        <f t="shared" si="1"/>
        <v>0.9837431445793988</v>
      </c>
    </row>
    <row r="27" spans="1:11" ht="12.75">
      <c r="A27" s="16"/>
      <c r="B27" s="9"/>
      <c r="C27" s="67"/>
      <c r="D27" s="70"/>
      <c r="E27" s="582"/>
      <c r="F27" s="10"/>
      <c r="G27" s="58"/>
      <c r="H27" s="70"/>
      <c r="I27" s="50"/>
      <c r="J27" s="79"/>
      <c r="K27" s="77"/>
    </row>
    <row r="28" spans="1:11" ht="12.75">
      <c r="A28" s="197" t="s">
        <v>50</v>
      </c>
      <c r="B28" s="206" t="s">
        <v>97</v>
      </c>
      <c r="C28" s="207" t="s">
        <v>14</v>
      </c>
      <c r="D28" s="208">
        <v>1883476.49</v>
      </c>
      <c r="E28" s="201" t="s">
        <v>105</v>
      </c>
      <c r="F28" s="209">
        <v>40000</v>
      </c>
      <c r="G28" s="203">
        <f>D28+F28</f>
        <v>1923476.49</v>
      </c>
      <c r="H28" s="208">
        <v>1883476.49</v>
      </c>
      <c r="I28" s="210">
        <v>32428.94</v>
      </c>
      <c r="J28" s="234">
        <f t="shared" si="0"/>
        <v>1915905.43</v>
      </c>
      <c r="K28" s="235">
        <f t="shared" si="1"/>
        <v>0.9960638666293239</v>
      </c>
    </row>
    <row r="29" spans="1:11" ht="12.75">
      <c r="A29" s="24"/>
      <c r="B29" s="15"/>
      <c r="C29" s="66"/>
      <c r="D29" s="70"/>
      <c r="E29" s="582"/>
      <c r="F29" s="10"/>
      <c r="G29" s="58"/>
      <c r="H29" s="70"/>
      <c r="I29" s="50"/>
      <c r="J29" s="79"/>
      <c r="K29" s="77"/>
    </row>
    <row r="30" spans="1:11" ht="12.75">
      <c r="A30" s="197" t="s">
        <v>51</v>
      </c>
      <c r="B30" s="206" t="s">
        <v>393</v>
      </c>
      <c r="C30" s="207" t="s">
        <v>14</v>
      </c>
      <c r="D30" s="200">
        <v>3523758.36</v>
      </c>
      <c r="E30" s="201"/>
      <c r="F30" s="202">
        <v>77000</v>
      </c>
      <c r="G30" s="203">
        <f>D30+F30</f>
        <v>3600758.36</v>
      </c>
      <c r="H30" s="200">
        <v>3523758.37</v>
      </c>
      <c r="I30" s="204">
        <v>76121.45</v>
      </c>
      <c r="J30" s="234">
        <f t="shared" si="0"/>
        <v>3599879.8200000003</v>
      </c>
      <c r="K30" s="235">
        <f t="shared" si="1"/>
        <v>0.9997560125084318</v>
      </c>
    </row>
    <row r="31" spans="1:11" ht="12.75">
      <c r="A31" s="24"/>
      <c r="B31" s="15"/>
      <c r="C31" s="66"/>
      <c r="D31" s="70"/>
      <c r="E31" s="582"/>
      <c r="F31" s="10"/>
      <c r="G31" s="58"/>
      <c r="H31" s="70"/>
      <c r="I31" s="50"/>
      <c r="J31" s="79"/>
      <c r="K31" s="77"/>
    </row>
    <row r="32" spans="1:11" ht="12.75">
      <c r="A32" s="197" t="s">
        <v>51</v>
      </c>
      <c r="B32" s="206" t="s">
        <v>394</v>
      </c>
      <c r="C32" s="207" t="s">
        <v>14</v>
      </c>
      <c r="D32" s="200">
        <v>879282.12</v>
      </c>
      <c r="E32" s="201"/>
      <c r="F32" s="202">
        <v>20000</v>
      </c>
      <c r="G32" s="203">
        <f>D32+F32</f>
        <v>899282.12</v>
      </c>
      <c r="H32" s="200">
        <v>879282.12</v>
      </c>
      <c r="I32" s="204">
        <v>19613.66</v>
      </c>
      <c r="J32" s="234">
        <f t="shared" si="0"/>
        <v>898895.78</v>
      </c>
      <c r="K32" s="235">
        <f t="shared" si="1"/>
        <v>0.9995703906578283</v>
      </c>
    </row>
    <row r="33" spans="1:11" ht="12.75">
      <c r="A33" s="24"/>
      <c r="B33" s="15"/>
      <c r="C33" s="66"/>
      <c r="D33" s="70"/>
      <c r="E33" s="582"/>
      <c r="F33" s="10"/>
      <c r="G33" s="58"/>
      <c r="H33" s="70"/>
      <c r="I33" s="50"/>
      <c r="J33" s="79"/>
      <c r="K33" s="77"/>
    </row>
    <row r="34" spans="1:11" ht="12" customHeight="1">
      <c r="A34" s="197" t="s">
        <v>354</v>
      </c>
      <c r="B34" s="206" t="s">
        <v>395</v>
      </c>
      <c r="C34" s="207" t="s">
        <v>14</v>
      </c>
      <c r="D34" s="200">
        <v>2944918.68</v>
      </c>
      <c r="E34" s="201"/>
      <c r="F34" s="202">
        <v>95000</v>
      </c>
      <c r="G34" s="203">
        <f>D34+F34</f>
        <v>3039918.68</v>
      </c>
      <c r="H34" s="200">
        <v>2883914.59</v>
      </c>
      <c r="I34" s="204">
        <v>32006.91</v>
      </c>
      <c r="J34" s="234">
        <f t="shared" si="0"/>
        <v>2915921.5</v>
      </c>
      <c r="K34" s="235">
        <f t="shared" si="1"/>
        <v>0.959210362824574</v>
      </c>
    </row>
    <row r="35" spans="1:11" ht="12" customHeight="1">
      <c r="A35" s="24"/>
      <c r="B35" s="14"/>
      <c r="C35" s="107"/>
      <c r="D35" s="70"/>
      <c r="E35" s="582"/>
      <c r="F35" s="10"/>
      <c r="G35" s="58"/>
      <c r="H35" s="70"/>
      <c r="I35" s="50"/>
      <c r="J35" s="79"/>
      <c r="K35" s="77"/>
    </row>
    <row r="36" spans="1:11" ht="12.75">
      <c r="A36" s="197" t="s">
        <v>99</v>
      </c>
      <c r="B36" s="198" t="s">
        <v>104</v>
      </c>
      <c r="C36" s="199" t="s">
        <v>14</v>
      </c>
      <c r="D36" s="200">
        <v>358372.55</v>
      </c>
      <c r="E36" s="201"/>
      <c r="F36" s="202">
        <v>15000</v>
      </c>
      <c r="G36" s="203">
        <f>D36+F36</f>
        <v>373372.55</v>
      </c>
      <c r="H36" s="200">
        <v>340073.97</v>
      </c>
      <c r="I36" s="204">
        <v>1700.37</v>
      </c>
      <c r="J36" s="234">
        <f t="shared" si="0"/>
        <v>341774.33999999997</v>
      </c>
      <c r="K36" s="235">
        <f t="shared" si="1"/>
        <v>0.9153708273412172</v>
      </c>
    </row>
    <row r="37" spans="1:11" ht="12.75">
      <c r="A37" s="55"/>
      <c r="B37" s="42"/>
      <c r="C37" s="108"/>
      <c r="D37" s="73"/>
      <c r="E37" s="584"/>
      <c r="F37" s="43"/>
      <c r="G37" s="109"/>
      <c r="H37" s="73"/>
      <c r="I37" s="52"/>
      <c r="J37" s="79"/>
      <c r="K37" s="77"/>
    </row>
    <row r="38" spans="1:11" ht="12.75">
      <c r="A38" s="212" t="s">
        <v>116</v>
      </c>
      <c r="B38" s="213" t="s">
        <v>117</v>
      </c>
      <c r="C38" s="236" t="s">
        <v>118</v>
      </c>
      <c r="D38" s="214">
        <v>21107.01</v>
      </c>
      <c r="E38" s="585" t="s">
        <v>105</v>
      </c>
      <c r="F38" s="215">
        <v>0</v>
      </c>
      <c r="G38" s="203">
        <f>D38+F38</f>
        <v>21107.01</v>
      </c>
      <c r="H38" s="214">
        <v>21107.01</v>
      </c>
      <c r="I38" s="216">
        <v>0</v>
      </c>
      <c r="J38" s="234">
        <f t="shared" si="0"/>
        <v>21107.01</v>
      </c>
      <c r="K38" s="235">
        <f t="shared" si="1"/>
        <v>1</v>
      </c>
    </row>
    <row r="39" spans="1:11" ht="12.75">
      <c r="A39" s="592"/>
      <c r="B39" s="593"/>
      <c r="C39" s="594"/>
      <c r="D39" s="595"/>
      <c r="E39" s="596"/>
      <c r="F39" s="597"/>
      <c r="G39" s="598"/>
      <c r="H39" s="595"/>
      <c r="I39" s="599"/>
      <c r="J39" s="600"/>
      <c r="K39" s="601"/>
    </row>
    <row r="40" spans="1:11" ht="12.75">
      <c r="A40" s="602" t="s">
        <v>107</v>
      </c>
      <c r="B40" s="185" t="s">
        <v>301</v>
      </c>
      <c r="C40" s="603" t="s">
        <v>302</v>
      </c>
      <c r="D40" s="186">
        <v>60000</v>
      </c>
      <c r="E40" s="604"/>
      <c r="F40" s="187">
        <v>0</v>
      </c>
      <c r="G40" s="605">
        <f>F40+D40</f>
        <v>60000</v>
      </c>
      <c r="H40" s="186">
        <v>50381.14</v>
      </c>
      <c r="I40" s="188">
        <v>0</v>
      </c>
      <c r="J40" s="194">
        <f>I40+H40</f>
        <v>50381.14</v>
      </c>
      <c r="K40" s="606">
        <f>J40/G40</f>
        <v>0.8396856666666667</v>
      </c>
    </row>
    <row r="41" spans="1:11" ht="12.75">
      <c r="A41" s="592"/>
      <c r="B41" s="593"/>
      <c r="C41" s="594"/>
      <c r="D41" s="595"/>
      <c r="E41" s="596"/>
      <c r="F41" s="597"/>
      <c r="G41" s="598"/>
      <c r="H41" s="595"/>
      <c r="I41" s="599"/>
      <c r="J41" s="600"/>
      <c r="K41" s="601"/>
    </row>
    <row r="42" spans="1:11" ht="12.75">
      <c r="A42" s="602" t="s">
        <v>313</v>
      </c>
      <c r="B42" s="185" t="s">
        <v>314</v>
      </c>
      <c r="C42" s="603" t="s">
        <v>118</v>
      </c>
      <c r="D42" s="186">
        <v>21966.93</v>
      </c>
      <c r="E42" s="604"/>
      <c r="F42" s="187">
        <v>0</v>
      </c>
      <c r="G42" s="605">
        <f>F42+D42</f>
        <v>21966.93</v>
      </c>
      <c r="H42" s="186">
        <v>12408.37</v>
      </c>
      <c r="I42" s="188">
        <v>0</v>
      </c>
      <c r="J42" s="194">
        <f>I42+H42</f>
        <v>12408.37</v>
      </c>
      <c r="K42" s="606">
        <f>J42/G42</f>
        <v>0.5648659143539858</v>
      </c>
    </row>
    <row r="43" spans="1:11" ht="12.75">
      <c r="A43" s="592"/>
      <c r="B43" s="593"/>
      <c r="C43" s="594"/>
      <c r="D43" s="595"/>
      <c r="E43" s="596"/>
      <c r="F43" s="597"/>
      <c r="G43" s="598"/>
      <c r="H43" s="595"/>
      <c r="I43" s="599"/>
      <c r="J43" s="600"/>
      <c r="K43" s="601"/>
    </row>
    <row r="44" spans="1:11" ht="12.75">
      <c r="A44" s="212" t="s">
        <v>315</v>
      </c>
      <c r="B44" s="213" t="s">
        <v>316</v>
      </c>
      <c r="C44" s="236"/>
      <c r="D44" s="214">
        <v>62895.11</v>
      </c>
      <c r="E44" s="585"/>
      <c r="F44" s="215">
        <v>2500</v>
      </c>
      <c r="G44" s="613">
        <f>F44+D44</f>
        <v>65395.11</v>
      </c>
      <c r="H44" s="214">
        <v>57315.91</v>
      </c>
      <c r="I44" s="216">
        <v>-37.34</v>
      </c>
      <c r="J44" s="234">
        <f>I44+H44</f>
        <v>57278.57000000001</v>
      </c>
      <c r="K44" s="614">
        <f>J44/G44</f>
        <v>0.8758846036041533</v>
      </c>
    </row>
    <row r="45" spans="1:11" ht="12.75">
      <c r="A45" s="592"/>
      <c r="B45" s="593"/>
      <c r="C45" s="594"/>
      <c r="D45" s="595"/>
      <c r="E45" s="596"/>
      <c r="F45" s="597"/>
      <c r="G45" s="598"/>
      <c r="H45" s="595"/>
      <c r="I45" s="599"/>
      <c r="J45" s="600"/>
      <c r="K45" s="601"/>
    </row>
    <row r="46" spans="1:11" ht="12.75">
      <c r="A46" s="212" t="s">
        <v>51</v>
      </c>
      <c r="B46" s="213" t="s">
        <v>317</v>
      </c>
      <c r="C46" s="236"/>
      <c r="D46" s="214">
        <v>160896.22</v>
      </c>
      <c r="E46" s="585"/>
      <c r="F46" s="215">
        <v>5000</v>
      </c>
      <c r="G46" s="613">
        <f>F46+D46</f>
        <v>165896.22</v>
      </c>
      <c r="H46" s="214">
        <v>160896.22</v>
      </c>
      <c r="I46" s="216">
        <v>2827.82</v>
      </c>
      <c r="J46" s="234">
        <f>I46+H46</f>
        <v>163724.04</v>
      </c>
      <c r="K46" s="614">
        <f>J46/G46</f>
        <v>0.9869063924422148</v>
      </c>
    </row>
    <row r="47" spans="1:11" ht="12.75">
      <c r="A47" s="592"/>
      <c r="B47" s="593"/>
      <c r="C47" s="594"/>
      <c r="D47" s="595"/>
      <c r="E47" s="596"/>
      <c r="F47" s="597"/>
      <c r="G47" s="598"/>
      <c r="H47" s="595"/>
      <c r="I47" s="599"/>
      <c r="J47" s="600"/>
      <c r="K47" s="601"/>
    </row>
    <row r="48" spans="1:12" ht="12.75">
      <c r="A48" s="680" t="s">
        <v>351</v>
      </c>
      <c r="B48" s="681" t="s">
        <v>352</v>
      </c>
      <c r="C48" s="682"/>
      <c r="D48" s="683">
        <v>3496.03</v>
      </c>
      <c r="E48" s="684"/>
      <c r="F48" s="685">
        <v>288.07</v>
      </c>
      <c r="G48" s="686">
        <f>F48+D48</f>
        <v>3784.1000000000004</v>
      </c>
      <c r="H48" s="683">
        <v>2126.61</v>
      </c>
      <c r="I48" s="687">
        <v>39.06</v>
      </c>
      <c r="J48" s="232">
        <f>I48+H48</f>
        <v>2165.67</v>
      </c>
      <c r="K48" s="688">
        <f>J48/G48</f>
        <v>0.5723078142755212</v>
      </c>
      <c r="L48" s="220" t="s">
        <v>353</v>
      </c>
    </row>
    <row r="49" spans="1:11" ht="12.75">
      <c r="A49" s="592"/>
      <c r="B49" s="593"/>
      <c r="C49" s="594"/>
      <c r="D49" s="595"/>
      <c r="E49" s="596"/>
      <c r="F49" s="597"/>
      <c r="G49" s="598"/>
      <c r="H49" s="595"/>
      <c r="I49" s="599"/>
      <c r="J49" s="600"/>
      <c r="K49" s="601"/>
    </row>
    <row r="50" spans="1:11" ht="12.75">
      <c r="A50" s="602" t="s">
        <v>380</v>
      </c>
      <c r="B50" s="185" t="s">
        <v>110</v>
      </c>
      <c r="C50" s="603"/>
      <c r="D50" s="186">
        <v>50066.8</v>
      </c>
      <c r="E50" s="604" t="s">
        <v>105</v>
      </c>
      <c r="F50" s="187">
        <v>0</v>
      </c>
      <c r="G50" s="605">
        <f>F50+D50</f>
        <v>50066.8</v>
      </c>
      <c r="H50" s="186">
        <v>50066.8</v>
      </c>
      <c r="I50" s="188">
        <v>0</v>
      </c>
      <c r="J50" s="194">
        <f>I50+H50</f>
        <v>50066.8</v>
      </c>
      <c r="K50" s="606">
        <f>J50/G50</f>
        <v>1</v>
      </c>
    </row>
    <row r="51" spans="1:11" ht="12.75">
      <c r="A51" s="592"/>
      <c r="B51" s="593"/>
      <c r="C51" s="594"/>
      <c r="D51" s="595"/>
      <c r="E51" s="596"/>
      <c r="F51" s="597"/>
      <c r="G51" s="598"/>
      <c r="H51" s="595"/>
      <c r="I51" s="599"/>
      <c r="J51" s="600"/>
      <c r="K51" s="601"/>
    </row>
    <row r="52" spans="1:11" ht="12.75">
      <c r="A52" s="602" t="s">
        <v>381</v>
      </c>
      <c r="B52" s="185" t="s">
        <v>111</v>
      </c>
      <c r="C52" s="603"/>
      <c r="D52" s="186">
        <v>19070.64</v>
      </c>
      <c r="E52" s="604" t="s">
        <v>105</v>
      </c>
      <c r="F52" s="187">
        <v>0</v>
      </c>
      <c r="G52" s="605">
        <f>F52+D52</f>
        <v>19070.64</v>
      </c>
      <c r="H52" s="186">
        <v>19070.64</v>
      </c>
      <c r="I52" s="188">
        <v>0</v>
      </c>
      <c r="J52" s="194">
        <f>I52+H52</f>
        <v>19070.64</v>
      </c>
      <c r="K52" s="606">
        <f>J52/G52</f>
        <v>1</v>
      </c>
    </row>
    <row r="53" spans="1:11" ht="12.75">
      <c r="A53" s="592"/>
      <c r="B53" s="593"/>
      <c r="C53" s="594"/>
      <c r="D53" s="595"/>
      <c r="E53" s="596"/>
      <c r="F53" s="597"/>
      <c r="G53" s="598"/>
      <c r="H53" s="595"/>
      <c r="I53" s="599"/>
      <c r="J53" s="600"/>
      <c r="K53" s="601"/>
    </row>
    <row r="54" spans="1:11" ht="12.75">
      <c r="A54" s="197" t="s">
        <v>354</v>
      </c>
      <c r="B54" s="213" t="s">
        <v>396</v>
      </c>
      <c r="C54" s="236"/>
      <c r="D54" s="214">
        <v>354016</v>
      </c>
      <c r="E54" s="585"/>
      <c r="F54" s="215">
        <v>0</v>
      </c>
      <c r="G54" s="613">
        <f>F54+D54</f>
        <v>354016</v>
      </c>
      <c r="H54" s="214">
        <v>309764</v>
      </c>
      <c r="I54" s="216">
        <v>0</v>
      </c>
      <c r="J54" s="234">
        <f>I54+H54</f>
        <v>309764</v>
      </c>
      <c r="K54" s="614">
        <f>J54/G54</f>
        <v>0.875</v>
      </c>
    </row>
    <row r="55" spans="1:11" ht="12.75">
      <c r="A55" s="592"/>
      <c r="B55" s="593"/>
      <c r="C55" s="594"/>
      <c r="D55" s="595"/>
      <c r="E55" s="596"/>
      <c r="F55" s="597"/>
      <c r="G55" s="598"/>
      <c r="H55" s="595"/>
      <c r="I55" s="599"/>
      <c r="J55" s="600"/>
      <c r="K55" s="601"/>
    </row>
    <row r="56" spans="1:11" ht="12.75">
      <c r="A56" s="223" t="s">
        <v>45</v>
      </c>
      <c r="B56" s="773" t="s">
        <v>443</v>
      </c>
      <c r="C56" s="774"/>
      <c r="D56" s="775">
        <v>75910.12</v>
      </c>
      <c r="E56" s="776"/>
      <c r="F56" s="777">
        <v>0</v>
      </c>
      <c r="G56" s="778">
        <f>F56+D56</f>
        <v>75910.12</v>
      </c>
      <c r="H56" s="775">
        <v>0</v>
      </c>
      <c r="I56" s="779">
        <v>0</v>
      </c>
      <c r="J56" s="229">
        <f>I56+H56</f>
        <v>0</v>
      </c>
      <c r="K56" s="780">
        <f>J56/G56</f>
        <v>0</v>
      </c>
    </row>
    <row r="57" spans="1:11" ht="12.75">
      <c r="A57" s="592"/>
      <c r="B57" s="593"/>
      <c r="C57" s="594"/>
      <c r="D57" s="595"/>
      <c r="E57" s="596"/>
      <c r="F57" s="597"/>
      <c r="G57" s="598"/>
      <c r="H57" s="595"/>
      <c r="I57" s="599"/>
      <c r="J57" s="600"/>
      <c r="K57" s="601"/>
    </row>
    <row r="58" spans="1:11" ht="12.75">
      <c r="A58" s="223" t="s">
        <v>45</v>
      </c>
      <c r="B58" s="773" t="s">
        <v>444</v>
      </c>
      <c r="C58" s="774"/>
      <c r="D58" s="775">
        <v>54955.28</v>
      </c>
      <c r="E58" s="776"/>
      <c r="F58" s="777">
        <v>2000</v>
      </c>
      <c r="G58" s="778">
        <f>F58+D58</f>
        <v>56955.28</v>
      </c>
      <c r="H58" s="775">
        <v>23630.76</v>
      </c>
      <c r="I58" s="779">
        <v>0</v>
      </c>
      <c r="J58" s="229">
        <f>I58+H58</f>
        <v>23630.76</v>
      </c>
      <c r="K58" s="780">
        <f>J58/G58</f>
        <v>0.41490025156578986</v>
      </c>
    </row>
    <row r="59" spans="1:11" ht="12.75">
      <c r="A59" s="592"/>
      <c r="B59" s="593"/>
      <c r="C59" s="594"/>
      <c r="D59" s="595"/>
      <c r="E59" s="596"/>
      <c r="F59" s="597"/>
      <c r="G59" s="598"/>
      <c r="H59" s="595"/>
      <c r="I59" s="599"/>
      <c r="J59" s="600"/>
      <c r="K59" s="601"/>
    </row>
    <row r="60" spans="1:11" ht="12.75">
      <c r="A60" s="602" t="s">
        <v>311</v>
      </c>
      <c r="B60" s="185" t="s">
        <v>445</v>
      </c>
      <c r="C60" s="603"/>
      <c r="D60" s="186">
        <v>7069.21</v>
      </c>
      <c r="E60" s="604" t="s">
        <v>105</v>
      </c>
      <c r="F60" s="187">
        <v>0</v>
      </c>
      <c r="G60" s="605">
        <f>F60+D60</f>
        <v>7069.21</v>
      </c>
      <c r="H60" s="186">
        <v>7069.21</v>
      </c>
      <c r="I60" s="188">
        <v>0</v>
      </c>
      <c r="J60" s="194">
        <f>I60+H60</f>
        <v>7069.21</v>
      </c>
      <c r="K60" s="606">
        <f>J60/G60</f>
        <v>1</v>
      </c>
    </row>
    <row r="61" spans="1:11" ht="12.75">
      <c r="A61" s="592"/>
      <c r="B61" s="593"/>
      <c r="C61" s="594"/>
      <c r="D61" s="595"/>
      <c r="E61" s="596"/>
      <c r="F61" s="597"/>
      <c r="G61" s="598"/>
      <c r="H61" s="595"/>
      <c r="I61" s="599"/>
      <c r="J61" s="600"/>
      <c r="K61" s="601"/>
    </row>
    <row r="62" spans="1:11" ht="12.75">
      <c r="A62" s="602" t="s">
        <v>446</v>
      </c>
      <c r="B62" s="185" t="s">
        <v>447</v>
      </c>
      <c r="C62" s="603"/>
      <c r="D62" s="186">
        <v>2057.41</v>
      </c>
      <c r="E62" s="604"/>
      <c r="F62" s="187">
        <v>0</v>
      </c>
      <c r="G62" s="605">
        <f>F62+D62</f>
        <v>2057.41</v>
      </c>
      <c r="H62" s="186">
        <v>822.97</v>
      </c>
      <c r="I62" s="188">
        <v>0</v>
      </c>
      <c r="J62" s="194">
        <f>I62+H62</f>
        <v>822.97</v>
      </c>
      <c r="K62" s="606">
        <f>J62/G62</f>
        <v>0.4000029162879543</v>
      </c>
    </row>
    <row r="63" spans="1:11" ht="12.75">
      <c r="A63" s="592"/>
      <c r="B63" s="593"/>
      <c r="C63" s="594"/>
      <c r="D63" s="595"/>
      <c r="E63" s="596"/>
      <c r="F63" s="597"/>
      <c r="G63" s="598"/>
      <c r="H63" s="595"/>
      <c r="I63" s="599"/>
      <c r="J63" s="600"/>
      <c r="K63" s="601"/>
    </row>
    <row r="64" spans="1:11" ht="12.75">
      <c r="A64" s="212" t="s">
        <v>51</v>
      </c>
      <c r="B64" s="213" t="s">
        <v>448</v>
      </c>
      <c r="C64" s="236"/>
      <c r="D64" s="214">
        <v>22344.6</v>
      </c>
      <c r="E64" s="585" t="s">
        <v>105</v>
      </c>
      <c r="F64" s="215">
        <v>0</v>
      </c>
      <c r="G64" s="613">
        <f>F64+D64</f>
        <v>22344.6</v>
      </c>
      <c r="H64" s="214">
        <v>22344.6</v>
      </c>
      <c r="I64" s="216">
        <v>0</v>
      </c>
      <c r="J64" s="234">
        <f>I64+H64</f>
        <v>22344.6</v>
      </c>
      <c r="K64" s="614">
        <f>J64/G64</f>
        <v>1</v>
      </c>
    </row>
    <row r="65" spans="1:11" ht="12.75">
      <c r="A65" s="592"/>
      <c r="B65" s="593"/>
      <c r="C65" s="594"/>
      <c r="D65" s="595"/>
      <c r="E65" s="596"/>
      <c r="F65" s="597"/>
      <c r="G65" s="598"/>
      <c r="H65" s="595"/>
      <c r="I65" s="599"/>
      <c r="J65" s="600"/>
      <c r="K65" s="601"/>
    </row>
    <row r="66" spans="1:11" ht="12.75">
      <c r="A66" s="602" t="s">
        <v>460</v>
      </c>
      <c r="B66" s="602" t="s">
        <v>461</v>
      </c>
      <c r="C66" s="602"/>
      <c r="D66" s="602">
        <v>9789.97</v>
      </c>
      <c r="E66" s="602"/>
      <c r="F66" s="602">
        <v>0</v>
      </c>
      <c r="G66" s="602">
        <f>F66+D66</f>
        <v>9789.97</v>
      </c>
      <c r="H66" s="602">
        <v>9789.97</v>
      </c>
      <c r="I66" s="602">
        <v>0</v>
      </c>
      <c r="J66" s="602">
        <f>I66+H66</f>
        <v>9789.97</v>
      </c>
      <c r="K66" s="602">
        <f>J66/G66</f>
        <v>1</v>
      </c>
    </row>
    <row r="67" spans="1:11" ht="12.75">
      <c r="A67" s="592"/>
      <c r="B67" s="788"/>
      <c r="C67" s="789"/>
      <c r="D67" s="592"/>
      <c r="E67" s="788"/>
      <c r="F67" s="788"/>
      <c r="G67" s="789"/>
      <c r="H67" s="592"/>
      <c r="I67" s="789"/>
      <c r="J67" s="789"/>
      <c r="K67" s="789"/>
    </row>
    <row r="68" spans="1:11" ht="12.75">
      <c r="A68" s="212" t="s">
        <v>51</v>
      </c>
      <c r="B68" s="212" t="s">
        <v>462</v>
      </c>
      <c r="C68" s="212"/>
      <c r="D68" s="212">
        <v>429434.13</v>
      </c>
      <c r="E68" s="212"/>
      <c r="F68" s="212">
        <v>0</v>
      </c>
      <c r="G68" s="212">
        <f>F68+D68</f>
        <v>429434.13</v>
      </c>
      <c r="H68" s="212">
        <v>21471.7</v>
      </c>
      <c r="I68" s="212">
        <v>0</v>
      </c>
      <c r="J68" s="212">
        <f>I68+H68</f>
        <v>21471.7</v>
      </c>
      <c r="K68" s="212">
        <f>J68/G68</f>
        <v>0.04999998486380205</v>
      </c>
    </row>
    <row r="69" spans="1:11" ht="13.5" thickBot="1">
      <c r="A69" s="17"/>
      <c r="B69" s="18"/>
      <c r="C69" s="105"/>
      <c r="D69" s="106"/>
      <c r="E69" s="586"/>
      <c r="F69" s="19"/>
      <c r="G69" s="59"/>
      <c r="H69" s="106"/>
      <c r="I69" s="60"/>
      <c r="J69" s="79"/>
      <c r="K69" s="112"/>
    </row>
    <row r="70" spans="1:11" ht="15.75" thickBot="1">
      <c r="A70" s="20" t="s">
        <v>0</v>
      </c>
      <c r="B70" s="21"/>
      <c r="C70" s="68"/>
      <c r="D70" s="110">
        <f>SUM(D7:D69)</f>
        <v>12052114.030000001</v>
      </c>
      <c r="E70" s="587"/>
      <c r="F70" s="44">
        <f>SUM(F7:F69)</f>
        <v>298088.07</v>
      </c>
      <c r="G70" s="111">
        <f>SUM(G7:G69)</f>
        <v>12350202.100000003</v>
      </c>
      <c r="H70" s="110">
        <f>SUM(H7:H69)</f>
        <v>11276121.800000003</v>
      </c>
      <c r="I70" s="44">
        <f>SUM(I7:I69)</f>
        <v>190517.87</v>
      </c>
      <c r="J70" s="111">
        <f>SUM(J7:J69)</f>
        <v>11466639.67</v>
      </c>
      <c r="K70" s="113">
        <f>H70/G70</f>
        <v>0.9130313584099162</v>
      </c>
    </row>
    <row r="72" ht="13.5" thickBot="1"/>
    <row r="73" spans="2:10" ht="15">
      <c r="B73" s="56" t="s">
        <v>122</v>
      </c>
      <c r="C73" s="57"/>
      <c r="F73" s="3"/>
      <c r="G73" s="3"/>
      <c r="I73" s="14" t="s">
        <v>168</v>
      </c>
      <c r="J73" s="14" t="s">
        <v>1</v>
      </c>
    </row>
    <row r="74" spans="2:10" ht="15">
      <c r="B74" s="16" t="s">
        <v>123</v>
      </c>
      <c r="C74" s="63">
        <f>D70-H70</f>
        <v>775992.2299999986</v>
      </c>
      <c r="E74" s="588"/>
      <c r="F74" s="3" t="s">
        <v>162</v>
      </c>
      <c r="G74" s="3"/>
      <c r="I74" s="160">
        <f>D8+D12+D14+D16+D22+D24+D26+D56+D58</f>
        <v>1056342.16</v>
      </c>
      <c r="J74" s="160">
        <f>H8+H12+H14+H16+H22+H24+H26+H56+H58</f>
        <v>853691.16</v>
      </c>
    </row>
    <row r="75" spans="2:10" ht="15">
      <c r="B75" s="16" t="s">
        <v>124</v>
      </c>
      <c r="C75" s="63">
        <f>F70-I70</f>
        <v>107570.20000000001</v>
      </c>
      <c r="F75" s="3"/>
      <c r="G75" s="3"/>
      <c r="H75" s="3"/>
      <c r="I75" s="10"/>
      <c r="J75" s="10"/>
    </row>
    <row r="76" spans="2:10" ht="15.75" thickBot="1">
      <c r="B76" s="17" t="s">
        <v>125</v>
      </c>
      <c r="C76" s="64">
        <f>SUM(C74:C75)</f>
        <v>883562.4299999985</v>
      </c>
      <c r="E76" s="589"/>
      <c r="F76" s="3" t="s">
        <v>163</v>
      </c>
      <c r="G76" s="3"/>
      <c r="I76" s="169">
        <f>D18+D48</f>
        <v>151987.4</v>
      </c>
      <c r="J76" s="169">
        <f>H18+H48</f>
        <v>136154.31999999998</v>
      </c>
    </row>
    <row r="77" spans="6:10" ht="12.75">
      <c r="F77" s="3"/>
      <c r="G77" s="3"/>
      <c r="I77" s="9"/>
      <c r="J77" s="9"/>
    </row>
    <row r="78" spans="5:10" ht="12.75">
      <c r="E78" s="590"/>
      <c r="F78" s="3" t="s">
        <v>164</v>
      </c>
      <c r="G78" s="3"/>
      <c r="I78" s="180">
        <f>D10+D20+D40+D42+D50+D52+D60+D62+D66</f>
        <v>203283.19999999998</v>
      </c>
      <c r="J78" s="180">
        <f>H10+H20+H40+H42+H50+H52+H60+H62+H66</f>
        <v>182871.34</v>
      </c>
    </row>
    <row r="79" spans="6:10" ht="12.75">
      <c r="F79" s="3"/>
      <c r="G79" s="3"/>
      <c r="I79" s="9"/>
      <c r="J79" s="9"/>
    </row>
    <row r="80" spans="5:10" ht="12.75">
      <c r="E80" s="591"/>
      <c r="F80" s="3" t="s">
        <v>167</v>
      </c>
      <c r="G80" s="3"/>
      <c r="I80" s="202">
        <f>D28+D30+D32+D34+D36+D38+D44+D46+D54+D64+D68</f>
        <v>10640501.270000001</v>
      </c>
      <c r="J80" s="202">
        <f>H28+H30+H32+H34+H36+H38+H44+H46+H54+H64+H68</f>
        <v>10103404.98</v>
      </c>
    </row>
    <row r="81" spans="6:10" ht="13.5" thickBot="1">
      <c r="F81" s="3"/>
      <c r="G81" s="3"/>
      <c r="I81" s="42"/>
      <c r="J81" s="42"/>
    </row>
    <row r="82" spans="6:10" ht="13.5" thickBot="1">
      <c r="F82" s="3"/>
      <c r="G82" s="3"/>
      <c r="I82" s="218">
        <f>SUM(I74:I80)</f>
        <v>12052114.030000001</v>
      </c>
      <c r="J82" s="218">
        <f>SUM(J74:J80)</f>
        <v>11276121.8</v>
      </c>
    </row>
    <row r="83" spans="6:7" ht="13.5" thickBot="1">
      <c r="F83" s="3"/>
      <c r="G83" s="3"/>
    </row>
    <row r="84" spans="6:10" ht="13.5" thickBot="1">
      <c r="F84" s="3"/>
      <c r="G84" s="3"/>
      <c r="H84" t="s">
        <v>169</v>
      </c>
      <c r="I84" s="217">
        <f>F70</f>
        <v>298088.07</v>
      </c>
      <c r="J84" s="219">
        <f>I70</f>
        <v>190517.87</v>
      </c>
    </row>
    <row r="85" spans="6:7" ht="13.5" thickBot="1">
      <c r="F85" s="3"/>
      <c r="G85" s="3"/>
    </row>
    <row r="86" spans="6:10" ht="13.5" thickBot="1">
      <c r="F86" s="3"/>
      <c r="G86" s="3"/>
      <c r="H86" t="s">
        <v>125</v>
      </c>
      <c r="I86" s="217">
        <f>I82+I84</f>
        <v>12350202.100000001</v>
      </c>
      <c r="J86" s="219">
        <f>J82+J84</f>
        <v>11466639.67</v>
      </c>
    </row>
  </sheetData>
  <sheetProtection/>
  <mergeCells count="11">
    <mergeCell ref="A5:A6"/>
    <mergeCell ref="B5:B6"/>
    <mergeCell ref="C5:C6"/>
    <mergeCell ref="D5:D6"/>
    <mergeCell ref="K5:K6"/>
    <mergeCell ref="E5:E6"/>
    <mergeCell ref="F5:F6"/>
    <mergeCell ref="G5:G6"/>
    <mergeCell ref="I5:I6"/>
    <mergeCell ref="J5:J6"/>
    <mergeCell ref="H5:H6"/>
  </mergeCells>
  <printOptions/>
  <pageMargins left="0.75" right="0.75" top="1" bottom="1" header="0.4921259845" footer="0.4921259845"/>
  <pageSetup fitToHeight="1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zoomScale="75" zoomScaleNormal="75" zoomScalePageLayoutView="0" workbookViewId="0" topLeftCell="A1">
      <selection activeCell="G35" sqref="G35"/>
    </sheetView>
  </sheetViews>
  <sheetFormatPr defaultColWidth="11.421875" defaultRowHeight="12.75"/>
  <cols>
    <col min="1" max="1" width="29.140625" style="0" customWidth="1"/>
    <col min="2" max="2" width="17.7109375" style="0" customWidth="1"/>
    <col min="3" max="3" width="13.00390625" style="0" customWidth="1"/>
    <col min="4" max="4" width="16.57421875" style="0" customWidth="1"/>
    <col min="5" max="5" width="5.28125" style="0" customWidth="1"/>
    <col min="6" max="6" width="17.57421875" style="0" customWidth="1"/>
    <col min="7" max="7" width="19.7109375" style="0" customWidth="1"/>
    <col min="8" max="9" width="17.00390625" style="0" customWidth="1"/>
    <col min="10" max="10" width="18.28125" style="0" customWidth="1"/>
    <col min="12" max="16384" width="11.421875" style="220" customWidth="1"/>
  </cols>
  <sheetData>
    <row r="2" spans="1:6" ht="15">
      <c r="A2" s="2" t="s">
        <v>231</v>
      </c>
      <c r="F2" s="2" t="s">
        <v>126</v>
      </c>
    </row>
    <row r="3" ht="15">
      <c r="A3" s="2"/>
    </row>
    <row r="4" ht="13.5" thickBot="1"/>
    <row r="5" spans="1:11" ht="13.5" customHeight="1" thickBot="1">
      <c r="A5" s="833" t="s">
        <v>4</v>
      </c>
      <c r="B5" s="833" t="s">
        <v>5</v>
      </c>
      <c r="C5" s="829" t="s">
        <v>20</v>
      </c>
      <c r="D5" s="831" t="s">
        <v>7</v>
      </c>
      <c r="E5" s="61"/>
      <c r="F5" s="836" t="s">
        <v>56</v>
      </c>
      <c r="G5" s="831" t="s">
        <v>40</v>
      </c>
      <c r="H5" s="817" t="s">
        <v>120</v>
      </c>
      <c r="I5" s="817" t="s">
        <v>119</v>
      </c>
      <c r="J5" s="817" t="s">
        <v>121</v>
      </c>
      <c r="K5" s="835" t="s">
        <v>2</v>
      </c>
    </row>
    <row r="6" spans="1:11" ht="27" customHeight="1" thickBot="1">
      <c r="A6" s="834"/>
      <c r="B6" s="834"/>
      <c r="C6" s="830"/>
      <c r="D6" s="832"/>
      <c r="E6" s="46"/>
      <c r="F6" s="813"/>
      <c r="G6" s="832"/>
      <c r="H6" s="813"/>
      <c r="I6" s="814"/>
      <c r="J6" s="814"/>
      <c r="K6" s="824"/>
    </row>
    <row r="7" spans="1:11" ht="12.75">
      <c r="A7" s="4"/>
      <c r="B7" s="5"/>
      <c r="C7" s="47"/>
      <c r="D7" s="4"/>
      <c r="E7" s="5"/>
      <c r="F7" s="5"/>
      <c r="G7" s="6"/>
      <c r="H7" s="4"/>
      <c r="I7" s="47"/>
      <c r="J7" s="6"/>
      <c r="K7" s="76"/>
    </row>
    <row r="8" spans="1:11" ht="12.75">
      <c r="A8" s="223" t="s">
        <v>87</v>
      </c>
      <c r="B8" s="224" t="s">
        <v>397</v>
      </c>
      <c r="C8" s="225" t="s">
        <v>89</v>
      </c>
      <c r="D8" s="226">
        <v>1090947.96</v>
      </c>
      <c r="E8" s="227"/>
      <c r="F8" s="227">
        <v>33000</v>
      </c>
      <c r="G8" s="152">
        <f>D8+F8</f>
        <v>1123947.96</v>
      </c>
      <c r="H8" s="226">
        <v>1000505.72</v>
      </c>
      <c r="I8" s="228">
        <v>25623.49</v>
      </c>
      <c r="J8" s="229">
        <f>I8+H8</f>
        <v>1026129.21</v>
      </c>
      <c r="K8" s="230">
        <f>J8/G8</f>
        <v>0.9129686128884472</v>
      </c>
    </row>
    <row r="9" spans="1:11" ht="12.75">
      <c r="A9" s="7"/>
      <c r="B9" s="8"/>
      <c r="C9" s="49"/>
      <c r="D9" s="7"/>
      <c r="E9" s="8"/>
      <c r="F9" s="8"/>
      <c r="G9" s="58"/>
      <c r="H9" s="69"/>
      <c r="I9" s="48"/>
      <c r="J9" s="79"/>
      <c r="K9" s="77"/>
    </row>
    <row r="10" spans="1:11" ht="12.75">
      <c r="A10" s="189" t="s">
        <v>107</v>
      </c>
      <c r="B10" s="190" t="s">
        <v>303</v>
      </c>
      <c r="C10" s="191" t="s">
        <v>304</v>
      </c>
      <c r="D10" s="192">
        <v>30000</v>
      </c>
      <c r="E10" s="237"/>
      <c r="F10" s="180">
        <v>0</v>
      </c>
      <c r="G10" s="181">
        <f>D10+F10</f>
        <v>30000</v>
      </c>
      <c r="H10" s="192">
        <v>21364.86</v>
      </c>
      <c r="I10" s="193">
        <v>0</v>
      </c>
      <c r="J10" s="194">
        <f aca="true" t="shared" si="0" ref="J10:J20">I10+H10</f>
        <v>21364.86</v>
      </c>
      <c r="K10" s="231">
        <f>J10/G10</f>
        <v>0.7121620000000001</v>
      </c>
    </row>
    <row r="11" spans="1:11" ht="12.75">
      <c r="A11" s="7"/>
      <c r="B11" s="8"/>
      <c r="C11" s="49"/>
      <c r="D11" s="69"/>
      <c r="E11" s="11"/>
      <c r="F11" s="10"/>
      <c r="G11" s="58"/>
      <c r="H11" s="69"/>
      <c r="I11" s="48"/>
      <c r="J11" s="79"/>
      <c r="K11" s="671"/>
    </row>
    <row r="12" spans="1:11" ht="12.75">
      <c r="A12" s="689" t="s">
        <v>484</v>
      </c>
      <c r="B12" s="690" t="s">
        <v>329</v>
      </c>
      <c r="C12" s="691">
        <v>1203026</v>
      </c>
      <c r="D12" s="658">
        <v>1696111.1</v>
      </c>
      <c r="E12" s="692"/>
      <c r="F12" s="202">
        <v>90000</v>
      </c>
      <c r="G12" s="203">
        <f>D12+F12</f>
        <v>1786111.1</v>
      </c>
      <c r="H12" s="658">
        <v>1068380.26</v>
      </c>
      <c r="I12" s="659">
        <v>9847.25</v>
      </c>
      <c r="J12" s="234">
        <f t="shared" si="0"/>
        <v>1078227.51</v>
      </c>
      <c r="K12" s="235">
        <f aca="true" t="shared" si="1" ref="K12:K24">J12/G12</f>
        <v>0.603673259742913</v>
      </c>
    </row>
    <row r="13" spans="1:11" ht="12.75">
      <c r="A13" s="7"/>
      <c r="B13" s="8"/>
      <c r="C13" s="49"/>
      <c r="D13" s="69"/>
      <c r="E13" s="11"/>
      <c r="F13" s="10"/>
      <c r="G13" s="58"/>
      <c r="H13" s="7"/>
      <c r="I13" s="49"/>
      <c r="J13" s="79"/>
      <c r="K13" s="671"/>
    </row>
    <row r="14" spans="1:11" ht="12.75">
      <c r="A14" s="689" t="s">
        <v>355</v>
      </c>
      <c r="B14" s="690" t="s">
        <v>330</v>
      </c>
      <c r="C14" s="691">
        <v>1203029</v>
      </c>
      <c r="D14" s="208">
        <v>1845548.7</v>
      </c>
      <c r="E14" s="209"/>
      <c r="F14" s="209">
        <v>90000</v>
      </c>
      <c r="G14" s="203">
        <f>D14+F14</f>
        <v>1935548.7</v>
      </c>
      <c r="H14" s="658">
        <v>713968.72</v>
      </c>
      <c r="I14" s="659">
        <v>6386.72</v>
      </c>
      <c r="J14" s="234">
        <f t="shared" si="0"/>
        <v>720355.44</v>
      </c>
      <c r="K14" s="235">
        <f t="shared" si="1"/>
        <v>0.3721711781263886</v>
      </c>
    </row>
    <row r="15" spans="1:11" ht="12.75">
      <c r="A15" s="16"/>
      <c r="B15" s="9"/>
      <c r="C15" s="67"/>
      <c r="D15" s="70"/>
      <c r="E15" s="10"/>
      <c r="F15" s="10"/>
      <c r="G15" s="58"/>
      <c r="H15" s="70"/>
      <c r="I15" s="50"/>
      <c r="J15" s="79"/>
      <c r="K15" s="671"/>
    </row>
    <row r="16" spans="1:11" ht="12.75">
      <c r="A16" s="689" t="s">
        <v>356</v>
      </c>
      <c r="B16" s="690" t="s">
        <v>331</v>
      </c>
      <c r="C16" s="691">
        <v>1203032</v>
      </c>
      <c r="D16" s="200">
        <v>1250755.07</v>
      </c>
      <c r="E16" s="202"/>
      <c r="F16" s="202">
        <v>35000</v>
      </c>
      <c r="G16" s="203">
        <f>D16+F16</f>
        <v>1285755.07</v>
      </c>
      <c r="H16" s="658">
        <v>597025.76</v>
      </c>
      <c r="I16" s="659">
        <v>-1005.03</v>
      </c>
      <c r="J16" s="234">
        <f t="shared" si="0"/>
        <v>596020.73</v>
      </c>
      <c r="K16" s="235">
        <f t="shared" si="1"/>
        <v>0.46355697434659926</v>
      </c>
    </row>
    <row r="17" spans="1:11" ht="12.75">
      <c r="A17" s="16"/>
      <c r="B17" s="9"/>
      <c r="C17" s="67"/>
      <c r="D17" s="70"/>
      <c r="E17" s="10"/>
      <c r="F17" s="10"/>
      <c r="G17" s="58"/>
      <c r="H17" s="70"/>
      <c r="I17" s="50"/>
      <c r="J17" s="79"/>
      <c r="K17" s="671"/>
    </row>
    <row r="18" spans="1:11" ht="12.75">
      <c r="A18" s="693" t="s">
        <v>357</v>
      </c>
      <c r="B18" s="198" t="s">
        <v>358</v>
      </c>
      <c r="C18" s="199">
        <v>1203030</v>
      </c>
      <c r="D18" s="200">
        <v>969683.55</v>
      </c>
      <c r="E18" s="202"/>
      <c r="F18" s="202">
        <v>20000</v>
      </c>
      <c r="G18" s="203">
        <f>F18+D18</f>
        <v>989683.55</v>
      </c>
      <c r="H18" s="200">
        <v>279251.69</v>
      </c>
      <c r="I18" s="204">
        <v>2354.95</v>
      </c>
      <c r="J18" s="234">
        <f t="shared" si="0"/>
        <v>281606.64</v>
      </c>
      <c r="K18" s="235">
        <f t="shared" si="1"/>
        <v>0.28454210439286376</v>
      </c>
    </row>
    <row r="19" spans="1:11" ht="12.75">
      <c r="A19" s="16"/>
      <c r="B19" s="16"/>
      <c r="C19" s="67"/>
      <c r="D19" s="70"/>
      <c r="E19" s="10"/>
      <c r="F19" s="10"/>
      <c r="G19" s="58"/>
      <c r="H19" s="70"/>
      <c r="I19" s="50"/>
      <c r="J19" s="79"/>
      <c r="K19" s="671"/>
    </row>
    <row r="20" spans="1:11" ht="12.75">
      <c r="A20" s="693" t="s">
        <v>359</v>
      </c>
      <c r="B20" s="198" t="s">
        <v>332</v>
      </c>
      <c r="C20" s="199">
        <v>1203033</v>
      </c>
      <c r="D20" s="200">
        <v>303784</v>
      </c>
      <c r="E20" s="202"/>
      <c r="F20" s="202">
        <v>15000</v>
      </c>
      <c r="G20" s="203">
        <f>F20+D20</f>
        <v>318784</v>
      </c>
      <c r="H20" s="200">
        <v>200236.83</v>
      </c>
      <c r="I20" s="204">
        <v>-305.04</v>
      </c>
      <c r="J20" s="234">
        <f t="shared" si="0"/>
        <v>199931.78999999998</v>
      </c>
      <c r="K20" s="235">
        <f t="shared" si="1"/>
        <v>0.6271700900923509</v>
      </c>
    </row>
    <row r="21" spans="1:11" ht="12.75">
      <c r="A21" s="16"/>
      <c r="B21" s="9"/>
      <c r="C21" s="67"/>
      <c r="D21" s="70"/>
      <c r="E21" s="10"/>
      <c r="F21" s="10"/>
      <c r="G21" s="58"/>
      <c r="H21" s="70"/>
      <c r="I21" s="50"/>
      <c r="J21" s="79"/>
      <c r="K21" s="671"/>
    </row>
    <row r="22" spans="1:11" ht="12.75">
      <c r="A22" s="693" t="s">
        <v>360</v>
      </c>
      <c r="B22" s="198" t="s">
        <v>361</v>
      </c>
      <c r="C22" s="199">
        <v>1203034</v>
      </c>
      <c r="D22" s="200">
        <v>561581.8</v>
      </c>
      <c r="E22" s="202"/>
      <c r="F22" s="202">
        <v>28000</v>
      </c>
      <c r="G22" s="203">
        <f>F22+D22</f>
        <v>589581.8</v>
      </c>
      <c r="H22" s="200">
        <v>169736</v>
      </c>
      <c r="I22" s="204">
        <v>1295.69</v>
      </c>
      <c r="J22" s="234">
        <f>I22+H22</f>
        <v>171031.69</v>
      </c>
      <c r="K22" s="235">
        <f t="shared" si="1"/>
        <v>0.2900898399509618</v>
      </c>
    </row>
    <row r="23" spans="1:11" ht="12.75">
      <c r="A23" s="741"/>
      <c r="B23" s="593"/>
      <c r="C23" s="594"/>
      <c r="D23" s="595"/>
      <c r="E23" s="597"/>
      <c r="F23" s="597"/>
      <c r="G23" s="598"/>
      <c r="H23" s="595"/>
      <c r="I23" s="599"/>
      <c r="J23" s="600"/>
      <c r="K23" s="671"/>
    </row>
    <row r="24" spans="1:11" ht="12.75">
      <c r="A24" s="740" t="s">
        <v>418</v>
      </c>
      <c r="B24" s="213" t="s">
        <v>412</v>
      </c>
      <c r="C24" s="236"/>
      <c r="D24" s="214">
        <v>129913.11</v>
      </c>
      <c r="E24" s="215"/>
      <c r="F24" s="215">
        <v>6500</v>
      </c>
      <c r="G24" s="613">
        <f>F24+D24</f>
        <v>136413.11</v>
      </c>
      <c r="H24" s="214">
        <v>0</v>
      </c>
      <c r="I24" s="216">
        <v>0</v>
      </c>
      <c r="J24" s="234">
        <f>I24+H24</f>
        <v>0</v>
      </c>
      <c r="K24" s="235">
        <f t="shared" si="1"/>
        <v>0</v>
      </c>
    </row>
    <row r="25" spans="1:11" ht="12.75">
      <c r="A25" s="741"/>
      <c r="B25" s="593"/>
      <c r="C25" s="594"/>
      <c r="D25" s="595"/>
      <c r="E25" s="597"/>
      <c r="F25" s="597"/>
      <c r="G25" s="598"/>
      <c r="H25" s="595"/>
      <c r="I25" s="599"/>
      <c r="J25" s="600"/>
      <c r="K25" s="671"/>
    </row>
    <row r="26" spans="1:11" ht="12.75">
      <c r="A26" s="189" t="s">
        <v>477</v>
      </c>
      <c r="B26" s="189"/>
      <c r="C26" s="189"/>
      <c r="D26" s="189">
        <v>17341.57</v>
      </c>
      <c r="E26" s="189"/>
      <c r="F26" s="189">
        <v>0</v>
      </c>
      <c r="G26" s="189">
        <f>F26+D26</f>
        <v>17341.57</v>
      </c>
      <c r="H26" s="189">
        <v>0</v>
      </c>
      <c r="I26" s="189">
        <v>0</v>
      </c>
      <c r="J26" s="189">
        <f>I26+H26</f>
        <v>0</v>
      </c>
      <c r="K26" s="189"/>
    </row>
    <row r="27" spans="1:11" ht="12.75">
      <c r="A27" s="741"/>
      <c r="B27" s="593"/>
      <c r="C27" s="594"/>
      <c r="D27" s="595"/>
      <c r="E27" s="597"/>
      <c r="F27" s="597"/>
      <c r="G27" s="598"/>
      <c r="H27" s="595"/>
      <c r="I27" s="599"/>
      <c r="J27" s="600" t="s">
        <v>340</v>
      </c>
      <c r="K27" s="671"/>
    </row>
    <row r="28" spans="1:11" ht="12.75">
      <c r="A28" s="741"/>
      <c r="B28" s="593"/>
      <c r="C28" s="594"/>
      <c r="D28" s="595"/>
      <c r="E28" s="597"/>
      <c r="F28" s="597"/>
      <c r="G28" s="598"/>
      <c r="H28" s="595"/>
      <c r="I28" s="599"/>
      <c r="J28" s="600"/>
      <c r="K28" s="671"/>
    </row>
    <row r="29" spans="1:11" ht="12.75">
      <c r="A29" s="741"/>
      <c r="B29" s="593"/>
      <c r="C29" s="594"/>
      <c r="D29" s="595"/>
      <c r="E29" s="597"/>
      <c r="F29" s="597"/>
      <c r="G29" s="598"/>
      <c r="H29" s="595"/>
      <c r="I29" s="599"/>
      <c r="J29" s="600"/>
      <c r="K29" s="671"/>
    </row>
    <row r="30" spans="1:11" ht="13.5" thickBot="1">
      <c r="A30" s="17"/>
      <c r="B30" s="18"/>
      <c r="C30" s="105"/>
      <c r="D30" s="106"/>
      <c r="E30" s="19"/>
      <c r="F30" s="19"/>
      <c r="G30" s="59"/>
      <c r="H30" s="106"/>
      <c r="I30" s="60"/>
      <c r="J30" s="79"/>
      <c r="K30" s="77"/>
    </row>
    <row r="31" spans="1:11" ht="15.75" thickBot="1">
      <c r="A31" s="20" t="s">
        <v>0</v>
      </c>
      <c r="B31" s="21"/>
      <c r="C31" s="68"/>
      <c r="D31" s="75">
        <f>SUM(D7:D30)</f>
        <v>7895666.86</v>
      </c>
      <c r="E31" s="22"/>
      <c r="F31" s="22">
        <f>SUM(F7:F30)</f>
        <v>317500</v>
      </c>
      <c r="G31" s="62">
        <f>SUM(G7:G30)</f>
        <v>8213166.86</v>
      </c>
      <c r="H31" s="75">
        <f>SUM(H7:H30)</f>
        <v>4050469.8399999994</v>
      </c>
      <c r="I31" s="22">
        <f>SUM(I7:I30)</f>
        <v>44198.030000000006</v>
      </c>
      <c r="J31" s="62">
        <f>SUM(J7:J30)</f>
        <v>4094667.87</v>
      </c>
      <c r="K31" s="78">
        <f>H31/G31</f>
        <v>0.4931678497519286</v>
      </c>
    </row>
    <row r="34" ht="13.5" thickBot="1"/>
    <row r="35" spans="1:10" ht="15">
      <c r="A35" s="56" t="s">
        <v>122</v>
      </c>
      <c r="B35" s="57"/>
      <c r="I35" s="14" t="s">
        <v>168</v>
      </c>
      <c r="J35" s="14" t="s">
        <v>1</v>
      </c>
    </row>
    <row r="36" spans="1:10" ht="15">
      <c r="A36" s="16" t="s">
        <v>123</v>
      </c>
      <c r="B36" s="63">
        <f>D31-H31</f>
        <v>3845197.020000001</v>
      </c>
      <c r="E36" s="163"/>
      <c r="F36" s="3" t="s">
        <v>162</v>
      </c>
      <c r="I36" s="160">
        <f>D8</f>
        <v>1090947.96</v>
      </c>
      <c r="J36" s="160">
        <f>H8</f>
        <v>1000505.72</v>
      </c>
    </row>
    <row r="37" spans="1:10" ht="15">
      <c r="A37" s="16" t="s">
        <v>124</v>
      </c>
      <c r="B37" s="63">
        <f>F31-I31</f>
        <v>273301.97</v>
      </c>
      <c r="F37" s="3"/>
      <c r="I37" s="10"/>
      <c r="J37" s="10"/>
    </row>
    <row r="38" spans="1:10" ht="15.75" thickBot="1">
      <c r="A38" s="17" t="s">
        <v>125</v>
      </c>
      <c r="B38" s="64">
        <f>SUM(B36:B37)</f>
        <v>4118498.990000001</v>
      </c>
      <c r="E38" s="164"/>
      <c r="F38" s="3" t="s">
        <v>163</v>
      </c>
      <c r="I38" s="169"/>
      <c r="J38" s="169"/>
    </row>
    <row r="39" spans="6:10" ht="12.75">
      <c r="F39" s="3"/>
      <c r="I39" s="9"/>
      <c r="J39" s="9"/>
    </row>
    <row r="40" spans="5:10" ht="12.75">
      <c r="E40" s="174"/>
      <c r="F40" s="3" t="s">
        <v>164</v>
      </c>
      <c r="I40" s="180">
        <f>D10</f>
        <v>30000</v>
      </c>
      <c r="J40" s="180">
        <f>H10</f>
        <v>21364.86</v>
      </c>
    </row>
    <row r="41" spans="6:10" ht="12.75">
      <c r="F41" s="3"/>
      <c r="I41" s="9"/>
      <c r="J41" s="9"/>
    </row>
    <row r="42" spans="5:10" ht="12.75">
      <c r="E42" s="196"/>
      <c r="F42" s="3" t="s">
        <v>167</v>
      </c>
      <c r="I42" s="202">
        <f>D12+D14+D16+D18+D20+D22+D24</f>
        <v>6757377.33</v>
      </c>
      <c r="J42" s="202">
        <f>H12+H14+H16+H18+H20+H22+H24</f>
        <v>3028599.2600000002</v>
      </c>
    </row>
    <row r="43" spans="9:10" ht="13.5" thickBot="1">
      <c r="I43" s="42"/>
      <c r="J43" s="42"/>
    </row>
    <row r="44" spans="9:10" ht="13.5" thickBot="1">
      <c r="I44" s="218">
        <f>SUM(I36:I42)</f>
        <v>7878325.29</v>
      </c>
      <c r="J44" s="218">
        <f>SUM(J36:J42)</f>
        <v>4050469.8400000003</v>
      </c>
    </row>
    <row r="45" ht="13.5" thickBot="1"/>
    <row r="46" spans="8:10" ht="13.5" thickBot="1">
      <c r="H46" t="s">
        <v>124</v>
      </c>
      <c r="I46" s="217">
        <f>F31</f>
        <v>317500</v>
      </c>
      <c r="J46" s="219">
        <f>I31</f>
        <v>44198.030000000006</v>
      </c>
    </row>
    <row r="47" ht="13.5" thickBot="1"/>
    <row r="48" spans="8:10" ht="13.5" thickBot="1">
      <c r="H48" t="s">
        <v>125</v>
      </c>
      <c r="I48" s="217">
        <f>I44+I46</f>
        <v>8195825.29</v>
      </c>
      <c r="J48" s="219">
        <f>J44+J46</f>
        <v>4094667.87</v>
      </c>
    </row>
  </sheetData>
  <sheetProtection/>
  <mergeCells count="10">
    <mergeCell ref="H5:H6"/>
    <mergeCell ref="K5:K6"/>
    <mergeCell ref="F5:F6"/>
    <mergeCell ref="G5:G6"/>
    <mergeCell ref="I5:I6"/>
    <mergeCell ref="J5:J6"/>
    <mergeCell ref="A5:A6"/>
    <mergeCell ref="B5:B6"/>
    <mergeCell ref="C5:C6"/>
    <mergeCell ref="D5:D6"/>
  </mergeCells>
  <printOptions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4"/>
  <sheetViews>
    <sheetView zoomScale="75" zoomScaleNormal="75" zoomScalePageLayoutView="0" workbookViewId="0" topLeftCell="A1">
      <selection activeCell="H8" sqref="H8"/>
    </sheetView>
  </sheetViews>
  <sheetFormatPr defaultColWidth="11.421875" defaultRowHeight="12.75"/>
  <cols>
    <col min="1" max="1" width="20.140625" style="0" customWidth="1"/>
    <col min="2" max="2" width="17.7109375" style="0" customWidth="1"/>
    <col min="3" max="3" width="13.00390625" style="0" customWidth="1"/>
    <col min="4" max="4" width="18.7109375" style="0" customWidth="1"/>
    <col min="5" max="5" width="4.8515625" style="0" customWidth="1"/>
    <col min="6" max="6" width="17.57421875" style="0" customWidth="1"/>
    <col min="7" max="7" width="19.7109375" style="0" customWidth="1"/>
    <col min="8" max="10" width="17.00390625" style="0" customWidth="1"/>
    <col min="12" max="16384" width="11.421875" style="220" customWidth="1"/>
  </cols>
  <sheetData>
    <row r="2" spans="1:7" ht="15">
      <c r="A2" s="2" t="s">
        <v>232</v>
      </c>
      <c r="B2" s="2"/>
      <c r="G2" s="2" t="s">
        <v>128</v>
      </c>
    </row>
    <row r="3" ht="15">
      <c r="A3" s="2"/>
    </row>
    <row r="4" ht="13.5" thickBot="1"/>
    <row r="5" spans="1:11" ht="13.5" customHeight="1" thickBot="1">
      <c r="A5" s="833" t="s">
        <v>4</v>
      </c>
      <c r="B5" s="833" t="s">
        <v>5</v>
      </c>
      <c r="C5" s="829" t="s">
        <v>20</v>
      </c>
      <c r="D5" s="831" t="s">
        <v>7</v>
      </c>
      <c r="E5" s="836"/>
      <c r="F5" s="836" t="s">
        <v>56</v>
      </c>
      <c r="G5" s="831" t="s">
        <v>40</v>
      </c>
      <c r="H5" s="817" t="s">
        <v>120</v>
      </c>
      <c r="I5" s="817" t="s">
        <v>119</v>
      </c>
      <c r="J5" s="817" t="s">
        <v>121</v>
      </c>
      <c r="K5" s="835" t="s">
        <v>2</v>
      </c>
    </row>
    <row r="6" spans="1:11" ht="27" customHeight="1" thickBot="1">
      <c r="A6" s="834"/>
      <c r="B6" s="834"/>
      <c r="C6" s="830"/>
      <c r="D6" s="832"/>
      <c r="E6" s="837"/>
      <c r="F6" s="813"/>
      <c r="G6" s="832"/>
      <c r="H6" s="813"/>
      <c r="I6" s="814"/>
      <c r="J6" s="814"/>
      <c r="K6" s="824"/>
    </row>
    <row r="7" spans="1:11" ht="12.75">
      <c r="A7" s="4"/>
      <c r="B7" s="5"/>
      <c r="C7" s="47"/>
      <c r="D7" s="4"/>
      <c r="E7" s="5"/>
      <c r="F7" s="5"/>
      <c r="G7" s="6"/>
      <c r="H7" s="4"/>
      <c r="I7" s="47"/>
      <c r="J7" s="6"/>
      <c r="K7" s="76"/>
    </row>
    <row r="8" spans="1:11" ht="12.75">
      <c r="A8" s="189" t="s">
        <v>107</v>
      </c>
      <c r="B8" s="190" t="s">
        <v>301</v>
      </c>
      <c r="C8" s="191"/>
      <c r="D8" s="192">
        <v>20000</v>
      </c>
      <c r="E8" s="237"/>
      <c r="F8" s="237">
        <v>0</v>
      </c>
      <c r="G8" s="181">
        <f>D8+F8</f>
        <v>20000</v>
      </c>
      <c r="H8" s="192">
        <v>16213.13</v>
      </c>
      <c r="I8" s="193">
        <v>0</v>
      </c>
      <c r="J8" s="194">
        <f>I8+H8</f>
        <v>16213.13</v>
      </c>
      <c r="K8" s="231">
        <f>J8/G8</f>
        <v>0.8106565</v>
      </c>
    </row>
    <row r="9" spans="1:11" ht="12.75">
      <c r="A9" s="7"/>
      <c r="B9" s="8"/>
      <c r="C9" s="49"/>
      <c r="D9" s="7"/>
      <c r="E9" s="8"/>
      <c r="F9" s="8"/>
      <c r="G9" s="58"/>
      <c r="H9" s="69"/>
      <c r="I9" s="48"/>
      <c r="J9" s="79"/>
      <c r="K9" s="671"/>
    </row>
    <row r="10" spans="1:11" ht="12.75">
      <c r="A10" s="653" t="s">
        <v>329</v>
      </c>
      <c r="B10" s="653" t="s">
        <v>362</v>
      </c>
      <c r="C10" s="694">
        <v>1203019</v>
      </c>
      <c r="D10" s="653">
        <v>8013200</v>
      </c>
      <c r="E10" s="653"/>
      <c r="F10" s="653">
        <v>320000</v>
      </c>
      <c r="G10" s="653">
        <f>F10+D10</f>
        <v>8333200</v>
      </c>
      <c r="H10" s="658">
        <v>6331902.07</v>
      </c>
      <c r="I10" s="658">
        <v>103285.18</v>
      </c>
      <c r="J10" s="658">
        <f>I10+H10</f>
        <v>6435187.25</v>
      </c>
      <c r="K10" s="235">
        <f aca="true" t="shared" si="0" ref="K10:K20">J10/G10</f>
        <v>0.7722348257572121</v>
      </c>
    </row>
    <row r="11" spans="1:11" ht="12.75">
      <c r="A11" s="641"/>
      <c r="B11" s="642"/>
      <c r="C11" s="643"/>
      <c r="D11" s="641"/>
      <c r="E11" s="642"/>
      <c r="F11" s="644"/>
      <c r="G11" s="645"/>
      <c r="H11" s="69"/>
      <c r="I11" s="48"/>
      <c r="J11" s="79"/>
      <c r="K11" s="671"/>
    </row>
    <row r="12" spans="1:11" ht="12.75">
      <c r="A12" s="654" t="s">
        <v>330</v>
      </c>
      <c r="B12" s="655" t="s">
        <v>363</v>
      </c>
      <c r="C12" s="694">
        <v>1203020</v>
      </c>
      <c r="D12" s="654">
        <v>570492</v>
      </c>
      <c r="E12" s="655"/>
      <c r="F12" s="656">
        <v>22800</v>
      </c>
      <c r="G12" s="657">
        <f>D12+F12</f>
        <v>593292</v>
      </c>
      <c r="H12" s="658">
        <v>36650.07</v>
      </c>
      <c r="I12" s="659">
        <v>124.2</v>
      </c>
      <c r="J12" s="234">
        <f>I12+H12</f>
        <v>36774.27</v>
      </c>
      <c r="K12" s="235">
        <f t="shared" si="0"/>
        <v>0.06198342468801197</v>
      </c>
    </row>
    <row r="13" spans="1:11" ht="12.75">
      <c r="A13" s="641"/>
      <c r="B13" s="642"/>
      <c r="C13" s="643"/>
      <c r="D13" s="641"/>
      <c r="E13" s="642"/>
      <c r="F13" s="644"/>
      <c r="G13" s="645"/>
      <c r="H13" s="7"/>
      <c r="I13" s="49"/>
      <c r="J13" s="79"/>
      <c r="K13" s="671"/>
    </row>
    <row r="14" spans="1:11" ht="12.75">
      <c r="A14" s="654" t="s">
        <v>331</v>
      </c>
      <c r="B14" s="655" t="s">
        <v>66</v>
      </c>
      <c r="C14" s="694">
        <v>1203022</v>
      </c>
      <c r="D14" s="660">
        <v>1071616</v>
      </c>
      <c r="E14" s="661"/>
      <c r="F14" s="661">
        <v>42000</v>
      </c>
      <c r="G14" s="657">
        <f>D14+F14</f>
        <v>1113616</v>
      </c>
      <c r="H14" s="658">
        <v>508899.43</v>
      </c>
      <c r="I14" s="659">
        <v>1659.99</v>
      </c>
      <c r="J14" s="234">
        <f>I14+H14</f>
        <v>510559.42</v>
      </c>
      <c r="K14" s="235">
        <f t="shared" si="0"/>
        <v>0.45846990344966304</v>
      </c>
    </row>
    <row r="15" spans="1:11" ht="12.75">
      <c r="A15" s="646"/>
      <c r="B15" s="644"/>
      <c r="C15" s="647"/>
      <c r="D15" s="646"/>
      <c r="E15" s="644"/>
      <c r="F15" s="644"/>
      <c r="G15" s="645"/>
      <c r="H15" s="70"/>
      <c r="I15" s="50"/>
      <c r="J15" s="79"/>
      <c r="K15" s="671"/>
    </row>
    <row r="16" spans="1:11" ht="12.75">
      <c r="A16" s="654" t="s">
        <v>332</v>
      </c>
      <c r="B16" s="655" t="s">
        <v>357</v>
      </c>
      <c r="C16" s="694">
        <v>1203023</v>
      </c>
      <c r="D16" s="662">
        <v>1763203</v>
      </c>
      <c r="E16" s="656"/>
      <c r="F16" s="656">
        <v>70000</v>
      </c>
      <c r="G16" s="657">
        <f>D16+F16</f>
        <v>1833203</v>
      </c>
      <c r="H16" s="658">
        <v>404038.55</v>
      </c>
      <c r="I16" s="659">
        <v>7162.56</v>
      </c>
      <c r="J16" s="234">
        <f>I16+H16</f>
        <v>411201.11</v>
      </c>
      <c r="K16" s="235">
        <f t="shared" si="0"/>
        <v>0.2243074607667563</v>
      </c>
    </row>
    <row r="17" spans="1:11" ht="12.75">
      <c r="A17" s="646"/>
      <c r="B17" s="644"/>
      <c r="C17" s="647"/>
      <c r="D17" s="646"/>
      <c r="E17" s="644"/>
      <c r="F17" s="644"/>
      <c r="G17" s="645"/>
      <c r="H17" s="70"/>
      <c r="I17" s="50"/>
      <c r="J17" s="79"/>
      <c r="K17" s="671"/>
    </row>
    <row r="18" spans="1:11" ht="12.75">
      <c r="A18" s="667" t="s">
        <v>333</v>
      </c>
      <c r="B18" s="668"/>
      <c r="C18" s="669"/>
      <c r="D18" s="667">
        <v>72207.3</v>
      </c>
      <c r="E18" s="668"/>
      <c r="F18" s="668">
        <v>0</v>
      </c>
      <c r="G18" s="670">
        <f>F18+D18</f>
        <v>72207.3</v>
      </c>
      <c r="H18" s="178">
        <v>68596.94</v>
      </c>
      <c r="I18" s="182">
        <v>0</v>
      </c>
      <c r="J18" s="194">
        <f>I18+H18</f>
        <v>68596.94</v>
      </c>
      <c r="K18" s="231">
        <f t="shared" si="0"/>
        <v>0.9500000692450763</v>
      </c>
    </row>
    <row r="19" spans="1:11" ht="12.75">
      <c r="A19" s="646"/>
      <c r="B19" s="648"/>
      <c r="C19" s="647"/>
      <c r="D19" s="646"/>
      <c r="E19" s="644"/>
      <c r="F19" s="644"/>
      <c r="G19" s="645"/>
      <c r="H19" s="70"/>
      <c r="I19" s="50"/>
      <c r="J19" s="79"/>
      <c r="K19" s="671"/>
    </row>
    <row r="20" spans="1:11" ht="12.75">
      <c r="A20" s="708" t="s">
        <v>377</v>
      </c>
      <c r="B20" s="709" t="s">
        <v>35</v>
      </c>
      <c r="C20" s="781">
        <v>1203037</v>
      </c>
      <c r="D20" s="708">
        <v>82059</v>
      </c>
      <c r="E20" s="709"/>
      <c r="F20" s="709">
        <v>4500</v>
      </c>
      <c r="G20" s="710">
        <f>F20+D20</f>
        <v>86559</v>
      </c>
      <c r="H20" s="168">
        <v>80417.81</v>
      </c>
      <c r="I20" s="171">
        <v>474.29</v>
      </c>
      <c r="J20" s="232">
        <f>I20+H20</f>
        <v>80892.09999999999</v>
      </c>
      <c r="K20" s="233">
        <f t="shared" si="0"/>
        <v>0.9345313601127554</v>
      </c>
    </row>
    <row r="21" spans="1:11" ht="12.75">
      <c r="A21" s="646"/>
      <c r="B21" s="644"/>
      <c r="C21" s="647"/>
      <c r="D21" s="646"/>
      <c r="E21" s="644"/>
      <c r="F21" s="644"/>
      <c r="G21" s="645"/>
      <c r="H21" s="70"/>
      <c r="I21" s="50"/>
      <c r="J21" s="79"/>
      <c r="K21" s="77"/>
    </row>
    <row r="22" spans="1:11" ht="12.75">
      <c r="A22" s="662" t="s">
        <v>358</v>
      </c>
      <c r="B22" s="656" t="s">
        <v>77</v>
      </c>
      <c r="C22" s="694">
        <v>1203080</v>
      </c>
      <c r="D22" s="662">
        <v>249964</v>
      </c>
      <c r="E22" s="656"/>
      <c r="F22" s="656">
        <v>10000</v>
      </c>
      <c r="G22" s="657">
        <f>F22+D22</f>
        <v>259964</v>
      </c>
      <c r="H22" s="200">
        <v>12498.2</v>
      </c>
      <c r="I22" s="204">
        <v>0</v>
      </c>
      <c r="J22" s="234">
        <f>I22+H22</f>
        <v>12498.2</v>
      </c>
      <c r="K22" s="235">
        <f>J22/G22</f>
        <v>0.04807665676786017</v>
      </c>
    </row>
    <row r="23" spans="1:11" ht="12.75">
      <c r="A23" s="790"/>
      <c r="B23" s="791"/>
      <c r="C23" s="792"/>
      <c r="D23" s="790"/>
      <c r="E23" s="791"/>
      <c r="F23" s="791"/>
      <c r="G23" s="793"/>
      <c r="H23" s="595"/>
      <c r="I23" s="599"/>
      <c r="J23" s="600"/>
      <c r="K23" s="601"/>
    </row>
    <row r="24" spans="1:11" ht="12.75">
      <c r="A24" s="667" t="s">
        <v>375</v>
      </c>
      <c r="B24" s="667" t="s">
        <v>463</v>
      </c>
      <c r="C24" s="667"/>
      <c r="D24" s="667">
        <v>3608.76</v>
      </c>
      <c r="E24" s="797" t="s">
        <v>105</v>
      </c>
      <c r="F24" s="667">
        <v>0</v>
      </c>
      <c r="G24" s="667">
        <f>F24+D24</f>
        <v>3608.76</v>
      </c>
      <c r="H24" s="667">
        <v>3608.76</v>
      </c>
      <c r="I24" s="667">
        <v>0</v>
      </c>
      <c r="J24" s="667">
        <f>I24+H24</f>
        <v>3608.76</v>
      </c>
      <c r="K24" s="231">
        <f>J24/G24</f>
        <v>1</v>
      </c>
    </row>
    <row r="25" spans="1:11" ht="12.75">
      <c r="A25" s="790"/>
      <c r="B25" s="798"/>
      <c r="C25" s="799"/>
      <c r="D25" s="790"/>
      <c r="E25" s="800"/>
      <c r="F25" s="798"/>
      <c r="G25" s="799"/>
      <c r="H25" s="790"/>
      <c r="I25" s="799"/>
      <c r="J25" s="801"/>
      <c r="K25" s="601"/>
    </row>
    <row r="26" spans="1:11" ht="12.75">
      <c r="A26" s="654" t="s">
        <v>485</v>
      </c>
      <c r="B26" s="654" t="s">
        <v>357</v>
      </c>
      <c r="C26" s="654"/>
      <c r="D26" s="654">
        <v>111844.2</v>
      </c>
      <c r="E26" s="654"/>
      <c r="F26" s="654">
        <v>4500</v>
      </c>
      <c r="G26" s="654">
        <f>F26+D26</f>
        <v>116344.2</v>
      </c>
      <c r="H26" s="654">
        <v>4753.38</v>
      </c>
      <c r="I26" s="654">
        <v>0</v>
      </c>
      <c r="J26" s="654">
        <f>I26+H26</f>
        <v>4753.38</v>
      </c>
      <c r="K26" s="654">
        <f>J26/G26</f>
        <v>0.04085618363442269</v>
      </c>
    </row>
    <row r="27" spans="1:11" ht="13.5" thickBot="1">
      <c r="A27" s="649"/>
      <c r="B27" s="650"/>
      <c r="C27" s="651"/>
      <c r="D27" s="649"/>
      <c r="E27" s="650"/>
      <c r="F27" s="650"/>
      <c r="G27" s="652"/>
      <c r="H27" s="106"/>
      <c r="I27" s="60"/>
      <c r="J27" s="79"/>
      <c r="K27" s="112"/>
    </row>
    <row r="28" spans="1:11" ht="15.75" thickBot="1">
      <c r="A28" s="20" t="s">
        <v>0</v>
      </c>
      <c r="B28" s="21"/>
      <c r="C28" s="68"/>
      <c r="D28" s="75">
        <f>SUM(D7:D27)</f>
        <v>11958194.26</v>
      </c>
      <c r="E28" s="22"/>
      <c r="F28" s="22">
        <f>SUM(F7:F27)</f>
        <v>473800</v>
      </c>
      <c r="G28" s="62">
        <f>SUM(G7:G27)</f>
        <v>12431994.26</v>
      </c>
      <c r="H28" s="75">
        <f>SUM(H7:H27)</f>
        <v>7467578.34</v>
      </c>
      <c r="I28" s="22">
        <f>SUM(I7:I27)</f>
        <v>112706.21999999999</v>
      </c>
      <c r="J28" s="62">
        <f>SUM(J7:J27)</f>
        <v>7580284.56</v>
      </c>
      <c r="K28" s="78">
        <f>H28/G28</f>
        <v>0.6006742107360015</v>
      </c>
    </row>
    <row r="30" ht="13.5" thickBot="1"/>
    <row r="31" spans="1:10" ht="15">
      <c r="A31" s="56" t="s">
        <v>371</v>
      </c>
      <c r="B31" s="57"/>
      <c r="F31" s="3"/>
      <c r="G31" s="3"/>
      <c r="I31" s="14" t="s">
        <v>168</v>
      </c>
      <c r="J31" s="14" t="s">
        <v>1</v>
      </c>
    </row>
    <row r="32" spans="1:10" ht="15">
      <c r="A32" s="16" t="s">
        <v>123</v>
      </c>
      <c r="B32" s="63">
        <f>D28-H28</f>
        <v>4490615.92</v>
      </c>
      <c r="E32" s="163"/>
      <c r="F32" s="3" t="s">
        <v>162</v>
      </c>
      <c r="G32" s="3"/>
      <c r="I32" s="160"/>
      <c r="J32" s="160"/>
    </row>
    <row r="33" spans="1:10" ht="15">
      <c r="A33" s="16" t="s">
        <v>124</v>
      </c>
      <c r="B33" s="63">
        <f>F28-I28</f>
        <v>361093.78</v>
      </c>
      <c r="F33" s="3"/>
      <c r="G33" s="3"/>
      <c r="H33" s="3"/>
      <c r="I33" s="10"/>
      <c r="J33" s="10"/>
    </row>
    <row r="34" spans="1:10" ht="15.75" thickBot="1">
      <c r="A34" s="17" t="s">
        <v>125</v>
      </c>
      <c r="B34" s="64">
        <f>SUM(B32:B33)</f>
        <v>4851709.7</v>
      </c>
      <c r="E34" s="164"/>
      <c r="F34" s="3" t="s">
        <v>163</v>
      </c>
      <c r="G34" s="3"/>
      <c r="I34" s="169">
        <f>D20</f>
        <v>82059</v>
      </c>
      <c r="J34" s="169">
        <f>H20</f>
        <v>80417.81</v>
      </c>
    </row>
    <row r="35" spans="6:10" ht="12.75">
      <c r="F35" s="3"/>
      <c r="G35" s="3"/>
      <c r="I35" s="9"/>
      <c r="J35" s="9"/>
    </row>
    <row r="36" spans="5:10" ht="12.75">
      <c r="E36" s="174"/>
      <c r="F36" s="3" t="s">
        <v>164</v>
      </c>
      <c r="G36" s="3"/>
      <c r="I36" s="180">
        <f>D8+D18+D24</f>
        <v>95816.06</v>
      </c>
      <c r="J36" s="180">
        <f>H8+H18+H24</f>
        <v>88418.83</v>
      </c>
    </row>
    <row r="37" spans="6:10" ht="12.75">
      <c r="F37" s="3"/>
      <c r="G37" s="3"/>
      <c r="I37" s="9"/>
      <c r="J37" s="9"/>
    </row>
    <row r="38" spans="5:10" ht="12.75">
      <c r="E38" s="196"/>
      <c r="F38" s="3" t="s">
        <v>167</v>
      </c>
      <c r="G38" s="3"/>
      <c r="I38" s="202">
        <f>D10+D12+D14+D16+D22</f>
        <v>11668475</v>
      </c>
      <c r="J38" s="202">
        <f>H10+H12+H14+H16+H22</f>
        <v>7293988.32</v>
      </c>
    </row>
    <row r="39" spans="6:10" ht="13.5" thickBot="1">
      <c r="F39" s="3"/>
      <c r="G39" s="3"/>
      <c r="I39" s="42"/>
      <c r="J39" s="42"/>
    </row>
    <row r="40" spans="6:10" ht="13.5" thickBot="1">
      <c r="F40" s="3"/>
      <c r="G40" s="3"/>
      <c r="I40" s="218">
        <f>SUM(I32:I38)</f>
        <v>11846350.06</v>
      </c>
      <c r="J40" s="218">
        <f>SUM(J32:J38)</f>
        <v>7462824.96</v>
      </c>
    </row>
    <row r="41" spans="6:7" ht="13.5" thickBot="1">
      <c r="F41" s="3"/>
      <c r="G41" s="3"/>
    </row>
    <row r="42" spans="6:10" ht="13.5" thickBot="1">
      <c r="F42" s="3"/>
      <c r="G42" s="3"/>
      <c r="H42" t="s">
        <v>169</v>
      </c>
      <c r="I42" s="217">
        <f>F28</f>
        <v>473800</v>
      </c>
      <c r="J42" s="219">
        <f>I28</f>
        <v>112706.21999999999</v>
      </c>
    </row>
    <row r="43" spans="6:7" ht="13.5" thickBot="1">
      <c r="F43" s="3"/>
      <c r="G43" s="3"/>
    </row>
    <row r="44" spans="6:10" ht="13.5" thickBot="1">
      <c r="F44" s="3"/>
      <c r="G44" s="3"/>
      <c r="H44" t="s">
        <v>125</v>
      </c>
      <c r="I44" s="217">
        <f>I40+I42</f>
        <v>12320150.06</v>
      </c>
      <c r="J44" s="219">
        <f>J40+J42</f>
        <v>7575531.18</v>
      </c>
    </row>
  </sheetData>
  <sheetProtection/>
  <mergeCells count="11">
    <mergeCell ref="E5:E6"/>
    <mergeCell ref="A5:A6"/>
    <mergeCell ref="B5:B6"/>
    <mergeCell ref="C5:C6"/>
    <mergeCell ref="D5:D6"/>
    <mergeCell ref="K5:K6"/>
    <mergeCell ref="F5:F6"/>
    <mergeCell ref="G5:G6"/>
    <mergeCell ref="H5:H6"/>
    <mergeCell ref="I5:I6"/>
    <mergeCell ref="J5:J6"/>
  </mergeCells>
  <printOptions/>
  <pageMargins left="0.75" right="0.75" top="1" bottom="1" header="0.4921259845" footer="0.4921259845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zoomScale="75" zoomScaleNormal="75" zoomScalePageLayoutView="0" workbookViewId="0" topLeftCell="A1">
      <selection activeCell="L48" sqref="L48"/>
    </sheetView>
  </sheetViews>
  <sheetFormatPr defaultColWidth="11.421875" defaultRowHeight="12.75"/>
  <cols>
    <col min="1" max="1" width="20.140625" style="0" customWidth="1"/>
    <col min="2" max="2" width="17.7109375" style="0" customWidth="1"/>
    <col min="3" max="3" width="13.00390625" style="0" customWidth="1"/>
    <col min="4" max="4" width="16.57421875" style="0" customWidth="1"/>
    <col min="5" max="5" width="5.28125" style="579" customWidth="1"/>
    <col min="6" max="6" width="17.57421875" style="0" customWidth="1"/>
    <col min="7" max="7" width="19.7109375" style="0" customWidth="1"/>
    <col min="8" max="10" width="17.00390625" style="0" customWidth="1"/>
    <col min="12" max="16384" width="11.421875" style="220" customWidth="1"/>
  </cols>
  <sheetData>
    <row r="2" spans="1:3" ht="15">
      <c r="A2" s="2" t="s">
        <v>233</v>
      </c>
      <c r="C2" s="2" t="s">
        <v>234</v>
      </c>
    </row>
    <row r="3" ht="15">
      <c r="A3" s="2"/>
    </row>
    <row r="4" ht="13.5" thickBot="1"/>
    <row r="5" spans="1:11" ht="13.5" customHeight="1" thickBot="1">
      <c r="A5" s="833" t="s">
        <v>4</v>
      </c>
      <c r="B5" s="833" t="s">
        <v>5</v>
      </c>
      <c r="C5" s="829" t="s">
        <v>20</v>
      </c>
      <c r="D5" s="831" t="s">
        <v>7</v>
      </c>
      <c r="E5" s="711"/>
      <c r="F5" s="836" t="s">
        <v>56</v>
      </c>
      <c r="G5" s="831" t="s">
        <v>40</v>
      </c>
      <c r="H5" s="817" t="s">
        <v>120</v>
      </c>
      <c r="I5" s="817" t="s">
        <v>119</v>
      </c>
      <c r="J5" s="817" t="s">
        <v>121</v>
      </c>
      <c r="K5" s="835" t="s">
        <v>2</v>
      </c>
    </row>
    <row r="6" spans="1:11" ht="27" customHeight="1" thickBot="1">
      <c r="A6" s="834"/>
      <c r="B6" s="834"/>
      <c r="C6" s="830"/>
      <c r="D6" s="832"/>
      <c r="E6" s="712"/>
      <c r="F6" s="813"/>
      <c r="G6" s="832"/>
      <c r="H6" s="813"/>
      <c r="I6" s="814"/>
      <c r="J6" s="814"/>
      <c r="K6" s="824"/>
    </row>
    <row r="7" spans="1:11" ht="12.75">
      <c r="A7" s="4"/>
      <c r="B7" s="5"/>
      <c r="C7" s="47"/>
      <c r="D7" s="4"/>
      <c r="E7" s="580"/>
      <c r="F7" s="5"/>
      <c r="G7" s="6"/>
      <c r="H7" s="4"/>
      <c r="I7" s="47"/>
      <c r="J7" s="6"/>
      <c r="K7" s="76"/>
    </row>
    <row r="8" spans="1:11" ht="12.75">
      <c r="A8" s="189" t="s">
        <v>107</v>
      </c>
      <c r="B8" s="190" t="s">
        <v>305</v>
      </c>
      <c r="C8" s="191" t="s">
        <v>306</v>
      </c>
      <c r="D8" s="192">
        <v>30000</v>
      </c>
      <c r="E8" s="713"/>
      <c r="F8" s="237">
        <v>0</v>
      </c>
      <c r="G8" s="181">
        <f>D8+F8</f>
        <v>30000</v>
      </c>
      <c r="H8" s="192">
        <v>18431.76</v>
      </c>
      <c r="I8" s="193">
        <v>0</v>
      </c>
      <c r="J8" s="194">
        <f>I8+H8</f>
        <v>18431.76</v>
      </c>
      <c r="K8" s="231">
        <f>J8/G8</f>
        <v>0.6143919999999999</v>
      </c>
    </row>
    <row r="9" spans="1:11" ht="12.75">
      <c r="A9" s="7"/>
      <c r="B9" s="8"/>
      <c r="C9" s="49"/>
      <c r="D9" s="7"/>
      <c r="E9" s="582"/>
      <c r="F9" s="8"/>
      <c r="G9" s="58"/>
      <c r="H9" s="69"/>
      <c r="I9" s="48"/>
      <c r="J9" s="79"/>
      <c r="K9" s="671"/>
    </row>
    <row r="10" spans="1:11" ht="12.75">
      <c r="A10" s="223" t="s">
        <v>364</v>
      </c>
      <c r="B10" s="224" t="s">
        <v>365</v>
      </c>
      <c r="C10" s="225"/>
      <c r="D10" s="226">
        <v>239200</v>
      </c>
      <c r="E10" s="714" t="s">
        <v>105</v>
      </c>
      <c r="F10" s="160">
        <v>0</v>
      </c>
      <c r="G10" s="152">
        <f>D10+F10</f>
        <v>239200</v>
      </c>
      <c r="H10" s="226">
        <v>239200</v>
      </c>
      <c r="I10" s="228">
        <v>0</v>
      </c>
      <c r="J10" s="229">
        <f aca="true" t="shared" si="0" ref="J10:J22">I10+H10</f>
        <v>239200</v>
      </c>
      <c r="K10" s="230">
        <f aca="true" t="shared" si="1" ref="K10:K26">J10/G10</f>
        <v>1</v>
      </c>
    </row>
    <row r="11" spans="1:11" ht="12.75">
      <c r="A11" s="7"/>
      <c r="B11" s="8"/>
      <c r="C11" s="49"/>
      <c r="D11" s="69"/>
      <c r="E11" s="715"/>
      <c r="F11" s="10"/>
      <c r="G11" s="58"/>
      <c r="H11" s="69"/>
      <c r="I11" s="48"/>
      <c r="J11" s="79"/>
      <c r="K11" s="671"/>
    </row>
    <row r="12" spans="1:11" ht="12.75">
      <c r="A12" s="223" t="s">
        <v>366</v>
      </c>
      <c r="B12" s="224" t="s">
        <v>88</v>
      </c>
      <c r="C12" s="225"/>
      <c r="D12" s="226">
        <v>2046991.48</v>
      </c>
      <c r="E12" s="714"/>
      <c r="F12" s="160">
        <v>60000</v>
      </c>
      <c r="G12" s="152">
        <f>D12+F12</f>
        <v>2106991.48</v>
      </c>
      <c r="H12" s="226">
        <v>1326259.02</v>
      </c>
      <c r="I12" s="228">
        <v>18683.75</v>
      </c>
      <c r="J12" s="229">
        <f t="shared" si="0"/>
        <v>1344942.77</v>
      </c>
      <c r="K12" s="230">
        <f t="shared" si="1"/>
        <v>0.6383237819262563</v>
      </c>
    </row>
    <row r="13" spans="1:11" ht="12.75">
      <c r="A13" s="7"/>
      <c r="B13" s="8"/>
      <c r="C13" s="49"/>
      <c r="D13" s="69"/>
      <c r="E13" s="715"/>
      <c r="F13" s="10"/>
      <c r="G13" s="58"/>
      <c r="H13" s="7"/>
      <c r="I13" s="49"/>
      <c r="J13" s="79"/>
      <c r="K13" s="671"/>
    </row>
    <row r="14" spans="1:11" ht="12.75">
      <c r="A14" s="695" t="s">
        <v>367</v>
      </c>
      <c r="B14" s="696" t="s">
        <v>368</v>
      </c>
      <c r="C14" s="697"/>
      <c r="D14" s="698">
        <v>15308.8</v>
      </c>
      <c r="E14" s="716" t="s">
        <v>105</v>
      </c>
      <c r="F14" s="699">
        <v>0</v>
      </c>
      <c r="G14" s="170">
        <f>D14+F14</f>
        <v>15308.8</v>
      </c>
      <c r="H14" s="700">
        <v>15308.8</v>
      </c>
      <c r="I14" s="701">
        <v>0</v>
      </c>
      <c r="J14" s="232">
        <f t="shared" si="0"/>
        <v>15308.8</v>
      </c>
      <c r="K14" s="233">
        <f t="shared" si="1"/>
        <v>1</v>
      </c>
    </row>
    <row r="15" spans="1:11" ht="12.75">
      <c r="A15" s="16"/>
      <c r="B15" s="9"/>
      <c r="C15" s="67"/>
      <c r="D15" s="70"/>
      <c r="E15" s="715"/>
      <c r="F15" s="10"/>
      <c r="G15" s="58"/>
      <c r="H15" s="70"/>
      <c r="I15" s="50"/>
      <c r="J15" s="79"/>
      <c r="K15" s="671"/>
    </row>
    <row r="16" spans="1:11" ht="12.75">
      <c r="A16" s="695" t="s">
        <v>369</v>
      </c>
      <c r="B16" s="696" t="s">
        <v>370</v>
      </c>
      <c r="C16" s="697"/>
      <c r="D16" s="168">
        <v>17342</v>
      </c>
      <c r="E16" s="716" t="s">
        <v>105</v>
      </c>
      <c r="F16" s="169">
        <v>0</v>
      </c>
      <c r="G16" s="170">
        <f>D16+F16</f>
        <v>17342</v>
      </c>
      <c r="H16" s="700">
        <v>17342</v>
      </c>
      <c r="I16" s="701">
        <v>0</v>
      </c>
      <c r="J16" s="232">
        <f t="shared" si="0"/>
        <v>17342</v>
      </c>
      <c r="K16" s="233">
        <f t="shared" si="1"/>
        <v>1</v>
      </c>
    </row>
    <row r="17" spans="1:11" ht="12.75">
      <c r="A17" s="16"/>
      <c r="B17" s="9"/>
      <c r="C17" s="67"/>
      <c r="D17" s="70"/>
      <c r="E17" s="715"/>
      <c r="F17" s="10"/>
      <c r="G17" s="58"/>
      <c r="H17" s="70"/>
      <c r="I17" s="50"/>
      <c r="J17" s="79"/>
      <c r="K17" s="77"/>
    </row>
    <row r="18" spans="1:11" ht="12.75">
      <c r="A18" s="165" t="s">
        <v>367</v>
      </c>
      <c r="B18" s="166" t="s">
        <v>378</v>
      </c>
      <c r="C18" s="167"/>
      <c r="D18" s="168">
        <v>45878.56</v>
      </c>
      <c r="E18" s="716" t="s">
        <v>105</v>
      </c>
      <c r="F18" s="169">
        <v>0</v>
      </c>
      <c r="G18" s="170">
        <f>F18+D18</f>
        <v>45878.56</v>
      </c>
      <c r="H18" s="168">
        <v>45878.56</v>
      </c>
      <c r="I18" s="171">
        <v>0</v>
      </c>
      <c r="J18" s="232">
        <f t="shared" si="0"/>
        <v>45878.56</v>
      </c>
      <c r="K18" s="233">
        <f t="shared" si="1"/>
        <v>1</v>
      </c>
    </row>
    <row r="19" spans="1:11" ht="12.75">
      <c r="A19" s="16"/>
      <c r="B19" s="45"/>
      <c r="C19" s="67"/>
      <c r="D19" s="70"/>
      <c r="E19" s="715"/>
      <c r="F19" s="10"/>
      <c r="G19" s="58"/>
      <c r="H19" s="70"/>
      <c r="I19" s="50"/>
      <c r="J19" s="79"/>
      <c r="K19" s="77"/>
    </row>
    <row r="20" spans="1:11" ht="12.75">
      <c r="A20" s="693" t="s">
        <v>67</v>
      </c>
      <c r="B20" s="198" t="s">
        <v>420</v>
      </c>
      <c r="C20" s="199"/>
      <c r="D20" s="200">
        <v>879073.16</v>
      </c>
      <c r="E20" s="744"/>
      <c r="F20" s="202">
        <v>43000</v>
      </c>
      <c r="G20" s="203">
        <f>F20+D20</f>
        <v>922073.16</v>
      </c>
      <c r="H20" s="200">
        <v>232287.86</v>
      </c>
      <c r="I20" s="204">
        <v>753.34</v>
      </c>
      <c r="J20" s="234">
        <f t="shared" si="0"/>
        <v>233041.19999999998</v>
      </c>
      <c r="K20" s="235">
        <f t="shared" si="1"/>
        <v>0.25273612779272303</v>
      </c>
    </row>
    <row r="21" spans="1:11" ht="12.75">
      <c r="A21" s="16"/>
      <c r="B21" s="9"/>
      <c r="C21" s="67"/>
      <c r="D21" s="70"/>
      <c r="E21" s="715"/>
      <c r="F21" s="10"/>
      <c r="G21" s="58"/>
      <c r="H21" s="70"/>
      <c r="I21" s="50"/>
      <c r="J21" s="79"/>
      <c r="K21" s="671"/>
    </row>
    <row r="22" spans="1:11" ht="12.75">
      <c r="A22" s="693" t="s">
        <v>421</v>
      </c>
      <c r="B22" s="198" t="s">
        <v>422</v>
      </c>
      <c r="C22" s="199"/>
      <c r="D22" s="200">
        <v>657663.06</v>
      </c>
      <c r="E22" s="744"/>
      <c r="F22" s="202">
        <v>32000</v>
      </c>
      <c r="G22" s="203">
        <f>F22+D22</f>
        <v>689663.06</v>
      </c>
      <c r="H22" s="200">
        <v>227025.78</v>
      </c>
      <c r="I22" s="204">
        <v>0</v>
      </c>
      <c r="J22" s="234">
        <f t="shared" si="0"/>
        <v>227025.78</v>
      </c>
      <c r="K22" s="235">
        <f t="shared" si="1"/>
        <v>0.3291836161269823</v>
      </c>
    </row>
    <row r="23" spans="1:11" ht="12.75">
      <c r="A23" s="741"/>
      <c r="B23" s="593"/>
      <c r="C23" s="594"/>
      <c r="D23" s="595"/>
      <c r="E23" s="746"/>
      <c r="F23" s="597"/>
      <c r="G23" s="598"/>
      <c r="H23" s="595"/>
      <c r="I23" s="599"/>
      <c r="J23" s="600"/>
      <c r="K23" s="671"/>
    </row>
    <row r="24" spans="1:11" ht="12.75">
      <c r="A24" s="740" t="s">
        <v>423</v>
      </c>
      <c r="B24" s="213" t="s">
        <v>424</v>
      </c>
      <c r="C24" s="236"/>
      <c r="D24" s="214">
        <v>67040.58</v>
      </c>
      <c r="E24" s="745"/>
      <c r="F24" s="215">
        <v>3000</v>
      </c>
      <c r="G24" s="613">
        <f>F24+D24</f>
        <v>70040.58</v>
      </c>
      <c r="H24" s="214">
        <v>11454.93</v>
      </c>
      <c r="I24" s="216">
        <v>0</v>
      </c>
      <c r="J24" s="234">
        <f>I24+H24</f>
        <v>11454.93</v>
      </c>
      <c r="K24" s="235">
        <f t="shared" si="1"/>
        <v>0.16354704658356628</v>
      </c>
    </row>
    <row r="25" spans="1:11" ht="12.75">
      <c r="A25" s="741"/>
      <c r="B25" s="593"/>
      <c r="C25" s="594"/>
      <c r="D25" s="595"/>
      <c r="E25" s="746"/>
      <c r="F25" s="597"/>
      <c r="G25" s="598"/>
      <c r="H25" s="595"/>
      <c r="I25" s="599"/>
      <c r="J25" s="600"/>
      <c r="K25" s="671"/>
    </row>
    <row r="26" spans="1:11" ht="12.75">
      <c r="A26" s="740" t="s">
        <v>421</v>
      </c>
      <c r="B26" s="213" t="s">
        <v>425</v>
      </c>
      <c r="C26" s="236"/>
      <c r="D26" s="214">
        <v>2021822.07</v>
      </c>
      <c r="E26" s="745"/>
      <c r="F26" s="215">
        <v>101000</v>
      </c>
      <c r="G26" s="613">
        <f>F26+D26</f>
        <v>2122822.0700000003</v>
      </c>
      <c r="H26" s="214">
        <v>723817.38</v>
      </c>
      <c r="I26" s="216">
        <v>1527.58</v>
      </c>
      <c r="J26" s="234">
        <f>I26+H26</f>
        <v>725344.96</v>
      </c>
      <c r="K26" s="235">
        <f t="shared" si="1"/>
        <v>0.3416890045805864</v>
      </c>
    </row>
    <row r="27" spans="1:11" ht="12.75">
      <c r="A27" s="741"/>
      <c r="B27" s="593"/>
      <c r="C27" s="594"/>
      <c r="D27" s="595"/>
      <c r="E27" s="746"/>
      <c r="F27" s="597"/>
      <c r="G27" s="598"/>
      <c r="H27" s="595"/>
      <c r="I27" s="599"/>
      <c r="J27" s="600"/>
      <c r="K27" s="601"/>
    </row>
    <row r="28" spans="1:11" ht="12.75">
      <c r="A28" s="165" t="s">
        <v>367</v>
      </c>
      <c r="B28" s="681" t="s">
        <v>449</v>
      </c>
      <c r="C28" s="682"/>
      <c r="D28" s="683">
        <v>13993.2</v>
      </c>
      <c r="E28" s="782"/>
      <c r="F28" s="685">
        <v>0</v>
      </c>
      <c r="G28" s="686">
        <f>F28+D28</f>
        <v>13993.2</v>
      </c>
      <c r="H28" s="683">
        <v>13993.2</v>
      </c>
      <c r="I28" s="687">
        <v>0</v>
      </c>
      <c r="J28" s="232">
        <f>I28+H28</f>
        <v>13993.2</v>
      </c>
      <c r="K28" s="233">
        <f>J28/G28</f>
        <v>1</v>
      </c>
    </row>
    <row r="29" spans="1:11" ht="12.75">
      <c r="A29" s="741"/>
      <c r="B29" s="593"/>
      <c r="C29" s="594"/>
      <c r="D29" s="595"/>
      <c r="E29" s="746"/>
      <c r="F29" s="597"/>
      <c r="G29" s="598"/>
      <c r="H29" s="595"/>
      <c r="I29" s="599"/>
      <c r="J29" s="600"/>
      <c r="K29" s="601"/>
    </row>
    <row r="30" spans="1:11" ht="12.75">
      <c r="A30" s="740" t="s">
        <v>464</v>
      </c>
      <c r="B30" s="740" t="s">
        <v>465</v>
      </c>
      <c r="C30" s="740"/>
      <c r="D30" s="740">
        <v>158409.23</v>
      </c>
      <c r="E30" s="740"/>
      <c r="F30" s="740">
        <v>0</v>
      </c>
      <c r="G30" s="740">
        <f>F30+D30</f>
        <v>158409.23</v>
      </c>
      <c r="H30" s="740">
        <v>0</v>
      </c>
      <c r="I30" s="740">
        <v>0</v>
      </c>
      <c r="J30" s="740">
        <f>I30+H30</f>
        <v>0</v>
      </c>
      <c r="K30" s="740">
        <f>J30/G30</f>
        <v>0</v>
      </c>
    </row>
    <row r="31" spans="1:11" ht="12.75">
      <c r="A31" s="741"/>
      <c r="B31" s="593"/>
      <c r="C31" s="594"/>
      <c r="D31" s="595"/>
      <c r="E31" s="746"/>
      <c r="F31" s="597"/>
      <c r="G31" s="598"/>
      <c r="H31" s="595"/>
      <c r="I31" s="599"/>
      <c r="J31" s="600"/>
      <c r="K31" s="601"/>
    </row>
    <row r="32" spans="1:11" ht="12.75">
      <c r="A32" s="212" t="s">
        <v>473</v>
      </c>
      <c r="B32" s="212" t="s">
        <v>478</v>
      </c>
      <c r="C32" s="740"/>
      <c r="D32" s="740">
        <v>1063574.45</v>
      </c>
      <c r="E32" s="740"/>
      <c r="F32" s="740">
        <v>42000</v>
      </c>
      <c r="G32" s="740">
        <f>F32+D32</f>
        <v>1105574.45</v>
      </c>
      <c r="H32" s="740">
        <v>53178.72</v>
      </c>
      <c r="I32" s="740">
        <v>0</v>
      </c>
      <c r="J32" s="740">
        <f>I32+H32</f>
        <v>53178.72</v>
      </c>
      <c r="K32" s="740"/>
    </row>
    <row r="33" spans="1:11" ht="12.75">
      <c r="A33" s="807"/>
      <c r="B33" s="808"/>
      <c r="C33" s="100"/>
      <c r="D33" s="631"/>
      <c r="E33" s="674"/>
      <c r="F33" s="674"/>
      <c r="G33" s="100"/>
      <c r="H33" s="631"/>
      <c r="I33" s="631"/>
      <c r="J33" s="631"/>
      <c r="K33" s="100"/>
    </row>
    <row r="34" spans="1:11" ht="12.75">
      <c r="A34" s="802" t="s">
        <v>479</v>
      </c>
      <c r="B34" s="803"/>
      <c r="C34" s="804"/>
      <c r="D34" s="805">
        <v>171145.14</v>
      </c>
      <c r="E34" s="806"/>
      <c r="F34" s="806">
        <v>0</v>
      </c>
      <c r="G34" s="804">
        <f>F34+D34</f>
        <v>171145.14</v>
      </c>
      <c r="H34" s="805">
        <v>0</v>
      </c>
      <c r="I34" s="805">
        <v>0</v>
      </c>
      <c r="J34" s="805">
        <f>I34+H34</f>
        <v>0</v>
      </c>
      <c r="K34" s="804"/>
    </row>
    <row r="35" spans="1:11" ht="12.75">
      <c r="A35" s="807"/>
      <c r="B35" s="808"/>
      <c r="C35" s="100"/>
      <c r="D35" s="631"/>
      <c r="E35" s="674"/>
      <c r="F35" s="674"/>
      <c r="G35" s="100"/>
      <c r="H35" s="631"/>
      <c r="I35" s="631"/>
      <c r="J35" s="631"/>
      <c r="K35" s="100"/>
    </row>
    <row r="36" spans="1:11" ht="13.5" thickBot="1">
      <c r="A36" s="802" t="s">
        <v>486</v>
      </c>
      <c r="B36" s="803" t="s">
        <v>487</v>
      </c>
      <c r="C36" s="804"/>
      <c r="D36" s="805">
        <v>92056.12</v>
      </c>
      <c r="E36" s="806"/>
      <c r="F36" s="806">
        <v>0</v>
      </c>
      <c r="G36" s="804">
        <f>F36+D36</f>
        <v>92056.12</v>
      </c>
      <c r="H36" s="805">
        <v>0</v>
      </c>
      <c r="I36" s="805">
        <v>0</v>
      </c>
      <c r="J36" s="805">
        <f>I36+H36</f>
        <v>0</v>
      </c>
      <c r="K36" s="804"/>
    </row>
    <row r="37" spans="1:11" ht="15.75" thickBot="1">
      <c r="A37" s="20" t="s">
        <v>0</v>
      </c>
      <c r="B37" s="21"/>
      <c r="C37" s="68"/>
      <c r="D37" s="75">
        <f>SUM(D7:D36)</f>
        <v>7519497.850000001</v>
      </c>
      <c r="E37" s="717"/>
      <c r="F37" s="22">
        <f>SUM(F9:F36)</f>
        <v>281000</v>
      </c>
      <c r="G37" s="62">
        <f>SUM(G7:G36)</f>
        <v>7800497.8500000015</v>
      </c>
      <c r="H37" s="75">
        <f>SUM(H8:H36)</f>
        <v>2924178.0100000002</v>
      </c>
      <c r="I37" s="75">
        <f>SUM(I7:I36)</f>
        <v>20964.67</v>
      </c>
      <c r="J37" s="75">
        <f>SUM(J7:J36)</f>
        <v>2945142.6800000006</v>
      </c>
      <c r="K37" s="78">
        <f>H37/G37</f>
        <v>0.3748706898239834</v>
      </c>
    </row>
    <row r="39" ht="13.5" thickBot="1"/>
    <row r="40" spans="1:10" ht="15">
      <c r="A40" s="56" t="s">
        <v>122</v>
      </c>
      <c r="B40" s="57"/>
      <c r="F40" s="3"/>
      <c r="G40" s="3"/>
      <c r="I40" s="14" t="s">
        <v>168</v>
      </c>
      <c r="J40" s="14" t="s">
        <v>1</v>
      </c>
    </row>
    <row r="41" spans="1:10" ht="15">
      <c r="A41" s="16" t="s">
        <v>123</v>
      </c>
      <c r="B41" s="63">
        <f>D37-H37</f>
        <v>4595319.84</v>
      </c>
      <c r="E41" s="588"/>
      <c r="F41" s="3" t="s">
        <v>162</v>
      </c>
      <c r="G41" s="3"/>
      <c r="I41" s="160">
        <f>D10+D12</f>
        <v>2286191.48</v>
      </c>
      <c r="J41" s="160">
        <f>H10+H12</f>
        <v>1565459.02</v>
      </c>
    </row>
    <row r="42" spans="1:10" ht="15">
      <c r="A42" s="16" t="s">
        <v>124</v>
      </c>
      <c r="B42" s="63">
        <f>F37-I37</f>
        <v>260035.33000000002</v>
      </c>
      <c r="F42" s="3"/>
      <c r="G42" s="3"/>
      <c r="H42" s="3"/>
      <c r="I42" s="10"/>
      <c r="J42" s="10"/>
    </row>
    <row r="43" spans="1:10" ht="15.75" thickBot="1">
      <c r="A43" s="17" t="s">
        <v>125</v>
      </c>
      <c r="B43" s="64">
        <f>SUM(B41:B42)</f>
        <v>4855355.17</v>
      </c>
      <c r="E43" s="589"/>
      <c r="F43" s="3" t="s">
        <v>163</v>
      </c>
      <c r="G43" s="3"/>
      <c r="I43" s="169">
        <f>D14+D16+D18+D28</f>
        <v>92522.56</v>
      </c>
      <c r="J43" s="169">
        <f>H14+H16+H18+H28</f>
        <v>92522.56</v>
      </c>
    </row>
    <row r="44" spans="6:10" ht="12.75">
      <c r="F44" s="3"/>
      <c r="G44" s="3"/>
      <c r="I44" s="9"/>
      <c r="J44" s="9"/>
    </row>
    <row r="45" spans="5:10" ht="12.75">
      <c r="E45" s="590"/>
      <c r="F45" s="3" t="s">
        <v>164</v>
      </c>
      <c r="G45" s="3"/>
      <c r="I45" s="180">
        <f>D8</f>
        <v>30000</v>
      </c>
      <c r="J45" s="180">
        <f>H8</f>
        <v>18431.76</v>
      </c>
    </row>
    <row r="46" spans="6:10" ht="12.75">
      <c r="F46" s="3"/>
      <c r="G46" s="3"/>
      <c r="I46" s="9"/>
      <c r="J46" s="9"/>
    </row>
    <row r="47" spans="4:10" ht="12.75">
      <c r="D47" s="3">
        <f>D26+D24+D22+D20</f>
        <v>3625598.87</v>
      </c>
      <c r="E47" s="591"/>
      <c r="F47" s="3" t="s">
        <v>167</v>
      </c>
      <c r="G47" s="3"/>
      <c r="I47" s="202">
        <f>D20+D22+D24+D26+D30+D32+D34+D36</f>
        <v>5110783.81</v>
      </c>
      <c r="J47" s="202">
        <f>H20+H22+H24+H26+H30+H32+H34+H36</f>
        <v>1247764.67</v>
      </c>
    </row>
    <row r="48" spans="6:10" ht="13.5" thickBot="1">
      <c r="F48" s="3"/>
      <c r="G48" s="3"/>
      <c r="I48" s="42"/>
      <c r="J48" s="42"/>
    </row>
    <row r="49" spans="6:10" ht="13.5" thickBot="1">
      <c r="F49" s="3"/>
      <c r="G49" s="3"/>
      <c r="I49" s="218">
        <f>SUM(I41:I47)</f>
        <v>7519497.85</v>
      </c>
      <c r="J49" s="218">
        <f>SUM(J41:J47)</f>
        <v>2924178.01</v>
      </c>
    </row>
    <row r="50" spans="6:7" ht="13.5" thickBot="1">
      <c r="F50" s="3"/>
      <c r="G50" s="3"/>
    </row>
    <row r="51" spans="6:10" ht="13.5" thickBot="1">
      <c r="F51" s="3"/>
      <c r="G51" s="3"/>
      <c r="H51" t="s">
        <v>169</v>
      </c>
      <c r="I51" s="217">
        <f>F37</f>
        <v>281000</v>
      </c>
      <c r="J51" s="219">
        <f>I37</f>
        <v>20964.67</v>
      </c>
    </row>
    <row r="52" spans="6:7" ht="13.5" thickBot="1">
      <c r="F52" s="3"/>
      <c r="G52" s="3"/>
    </row>
    <row r="53" spans="6:10" ht="13.5" thickBot="1">
      <c r="F53" s="3"/>
      <c r="G53" s="3"/>
      <c r="H53" t="s">
        <v>125</v>
      </c>
      <c r="I53" s="217">
        <f>I49+I51</f>
        <v>7800497.85</v>
      </c>
      <c r="J53" s="219">
        <f>J49+J51</f>
        <v>2945142.6799999997</v>
      </c>
    </row>
  </sheetData>
  <sheetProtection/>
  <mergeCells count="10">
    <mergeCell ref="K5:K6"/>
    <mergeCell ref="F5:F6"/>
    <mergeCell ref="G5:G6"/>
    <mergeCell ref="H5:H6"/>
    <mergeCell ref="I5:I6"/>
    <mergeCell ref="J5:J6"/>
    <mergeCell ref="A5:A6"/>
    <mergeCell ref="B5:B6"/>
    <mergeCell ref="C5:C6"/>
    <mergeCell ref="D5:D6"/>
  </mergeCells>
  <printOptions/>
  <pageMargins left="0.75" right="0.75" top="1" bottom="1" header="0.4921259845" footer="0.4921259845"/>
  <pageSetup fitToHeight="1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zoomScale="75" zoomScaleNormal="75" zoomScalePageLayoutView="0" workbookViewId="0" topLeftCell="A4">
      <selection activeCell="M44" sqref="M44"/>
    </sheetView>
  </sheetViews>
  <sheetFormatPr defaultColWidth="11.421875" defaultRowHeight="12.75"/>
  <cols>
    <col min="1" max="1" width="20.140625" style="0" customWidth="1"/>
    <col min="2" max="2" width="22.140625" style="0" customWidth="1"/>
    <col min="3" max="3" width="13.00390625" style="0" customWidth="1"/>
    <col min="4" max="4" width="16.57421875" style="0" customWidth="1"/>
    <col min="5" max="5" width="5.28125" style="0" customWidth="1"/>
    <col min="6" max="6" width="17.57421875" style="0" customWidth="1"/>
    <col min="7" max="7" width="19.7109375" style="0" customWidth="1"/>
    <col min="8" max="10" width="17.00390625" style="0" customWidth="1"/>
    <col min="12" max="16384" width="11.421875" style="220" customWidth="1"/>
  </cols>
  <sheetData>
    <row r="2" spans="1:4" ht="15">
      <c r="A2" s="2" t="s">
        <v>227</v>
      </c>
      <c r="D2" s="2" t="s">
        <v>235</v>
      </c>
    </row>
    <row r="3" ht="15">
      <c r="A3" s="2"/>
    </row>
    <row r="4" ht="13.5" thickBot="1"/>
    <row r="5" spans="1:11" ht="13.5" customHeight="1" thickBot="1">
      <c r="A5" s="833" t="s">
        <v>4</v>
      </c>
      <c r="B5" s="833" t="s">
        <v>5</v>
      </c>
      <c r="C5" s="829" t="s">
        <v>20</v>
      </c>
      <c r="D5" s="831" t="s">
        <v>7</v>
      </c>
      <c r="E5" s="61"/>
      <c r="F5" s="836" t="s">
        <v>56</v>
      </c>
      <c r="G5" s="831" t="s">
        <v>40</v>
      </c>
      <c r="H5" s="817" t="s">
        <v>120</v>
      </c>
      <c r="I5" s="817" t="s">
        <v>119</v>
      </c>
      <c r="J5" s="817" t="s">
        <v>121</v>
      </c>
      <c r="K5" s="835" t="s">
        <v>2</v>
      </c>
    </row>
    <row r="6" spans="1:11" ht="27" customHeight="1" thickBot="1">
      <c r="A6" s="834"/>
      <c r="B6" s="834"/>
      <c r="C6" s="830"/>
      <c r="D6" s="832"/>
      <c r="E6" s="46"/>
      <c r="F6" s="813"/>
      <c r="G6" s="832"/>
      <c r="H6" s="813"/>
      <c r="I6" s="814"/>
      <c r="J6" s="814"/>
      <c r="K6" s="824"/>
    </row>
    <row r="7" spans="1:11" ht="12.75">
      <c r="A7" s="4"/>
      <c r="B7" s="5"/>
      <c r="C7" s="47"/>
      <c r="D7" s="4"/>
      <c r="E7" s="5"/>
      <c r="F7" s="5"/>
      <c r="G7" s="6"/>
      <c r="H7" s="4"/>
      <c r="I7" s="47"/>
      <c r="J7" s="6"/>
      <c r="K7" s="76"/>
    </row>
    <row r="8" spans="1:12" ht="12.75">
      <c r="A8" s="156" t="s">
        <v>106</v>
      </c>
      <c r="B8" s="157" t="s">
        <v>413</v>
      </c>
      <c r="C8" s="158" t="s">
        <v>14</v>
      </c>
      <c r="D8" s="159">
        <f>801320+119241</f>
        <v>920561</v>
      </c>
      <c r="E8" s="160"/>
      <c r="F8" s="160">
        <v>35000</v>
      </c>
      <c r="G8" s="152">
        <f>D8+F8</f>
        <v>955561</v>
      </c>
      <c r="H8" s="226">
        <v>697665.54</v>
      </c>
      <c r="I8" s="228">
        <v>12513.26</v>
      </c>
      <c r="J8" s="229">
        <f>I8+H8</f>
        <v>710178.8</v>
      </c>
      <c r="K8" s="230">
        <f>J8/G8</f>
        <v>0.7432061375464256</v>
      </c>
      <c r="L8" s="238"/>
    </row>
    <row r="9" spans="1:11" ht="12.75">
      <c r="A9" s="7"/>
      <c r="B9" s="8"/>
      <c r="C9" s="49"/>
      <c r="D9" s="69"/>
      <c r="E9" s="11"/>
      <c r="F9" s="10"/>
      <c r="G9" s="58"/>
      <c r="H9" s="69"/>
      <c r="I9" s="48"/>
      <c r="J9" s="79"/>
      <c r="K9" s="77"/>
    </row>
    <row r="10" spans="1:11" ht="12.75">
      <c r="A10" s="189" t="s">
        <v>107</v>
      </c>
      <c r="B10" s="190" t="s">
        <v>307</v>
      </c>
      <c r="C10" s="191" t="s">
        <v>308</v>
      </c>
      <c r="D10" s="192">
        <v>10000</v>
      </c>
      <c r="E10" s="237"/>
      <c r="F10" s="180">
        <v>0</v>
      </c>
      <c r="G10" s="181">
        <f>D10+F10</f>
        <v>10000</v>
      </c>
      <c r="H10" s="192">
        <v>6595.34</v>
      </c>
      <c r="I10" s="193">
        <v>0</v>
      </c>
      <c r="J10" s="194">
        <f>I10+H10</f>
        <v>6595.34</v>
      </c>
      <c r="K10" s="231">
        <f>J10/G10</f>
        <v>0.6595340000000001</v>
      </c>
    </row>
    <row r="11" spans="1:11" ht="12.75">
      <c r="A11" s="7"/>
      <c r="B11" s="8"/>
      <c r="C11" s="49"/>
      <c r="D11" s="69"/>
      <c r="E11" s="11"/>
      <c r="F11" s="10"/>
      <c r="G11" s="58"/>
      <c r="H11" s="7"/>
      <c r="I11" s="49"/>
      <c r="J11" s="79"/>
      <c r="K11" s="671"/>
    </row>
    <row r="12" spans="1:11" ht="12.75">
      <c r="A12" s="689" t="s">
        <v>414</v>
      </c>
      <c r="B12" s="690" t="s">
        <v>329</v>
      </c>
      <c r="C12" s="691"/>
      <c r="D12" s="208">
        <v>270467.24</v>
      </c>
      <c r="E12" s="209"/>
      <c r="F12" s="209">
        <v>14000</v>
      </c>
      <c r="G12" s="203">
        <f>D12+F12</f>
        <v>284467.24</v>
      </c>
      <c r="H12" s="658">
        <v>13523.36</v>
      </c>
      <c r="I12" s="659">
        <v>0</v>
      </c>
      <c r="J12" s="234">
        <f>I12+H12</f>
        <v>13523.36</v>
      </c>
      <c r="K12" s="235">
        <f aca="true" t="shared" si="0" ref="K12:K26">J12/G12</f>
        <v>0.04753925267457863</v>
      </c>
    </row>
    <row r="13" spans="1:11" ht="12.75">
      <c r="A13" s="16"/>
      <c r="B13" s="9"/>
      <c r="C13" s="67"/>
      <c r="D13" s="70"/>
      <c r="E13" s="10"/>
      <c r="F13" s="10"/>
      <c r="G13" s="58"/>
      <c r="H13" s="70"/>
      <c r="I13" s="50"/>
      <c r="J13" s="79"/>
      <c r="K13" s="671"/>
    </row>
    <row r="14" spans="1:11" ht="12.75">
      <c r="A14" s="689" t="s">
        <v>415</v>
      </c>
      <c r="B14" s="690" t="s">
        <v>330</v>
      </c>
      <c r="C14" s="691"/>
      <c r="D14" s="200">
        <v>901104.88</v>
      </c>
      <c r="E14" s="202"/>
      <c r="F14" s="202">
        <v>45000</v>
      </c>
      <c r="G14" s="203">
        <f>D14+F14</f>
        <v>946104.88</v>
      </c>
      <c r="H14" s="658">
        <v>45055.24</v>
      </c>
      <c r="I14" s="659">
        <v>0</v>
      </c>
      <c r="J14" s="234">
        <f>I14+H14</f>
        <v>45055.24</v>
      </c>
      <c r="K14" s="235">
        <f t="shared" si="0"/>
        <v>0.047621823914490324</v>
      </c>
    </row>
    <row r="15" spans="1:11" ht="12.75">
      <c r="A15" s="16"/>
      <c r="B15" s="9"/>
      <c r="C15" s="67"/>
      <c r="D15" s="70"/>
      <c r="E15" s="10"/>
      <c r="F15" s="10"/>
      <c r="G15" s="58"/>
      <c r="H15" s="70"/>
      <c r="I15" s="50"/>
      <c r="J15" s="79"/>
      <c r="K15" s="671"/>
    </row>
    <row r="16" spans="1:11" ht="12.75">
      <c r="A16" s="693" t="s">
        <v>426</v>
      </c>
      <c r="B16" s="198" t="s">
        <v>428</v>
      </c>
      <c r="C16" s="199"/>
      <c r="D16" s="200">
        <v>417332.24</v>
      </c>
      <c r="E16" s="202"/>
      <c r="F16" s="202">
        <v>20000</v>
      </c>
      <c r="G16" s="203">
        <f>F16+D16</f>
        <v>437332.24</v>
      </c>
      <c r="H16" s="200">
        <v>94719.61</v>
      </c>
      <c r="I16" s="204">
        <v>0</v>
      </c>
      <c r="J16" s="234">
        <f>I16+H16</f>
        <v>94719.61</v>
      </c>
      <c r="K16" s="235">
        <f t="shared" si="0"/>
        <v>0.21658501554790474</v>
      </c>
    </row>
    <row r="17" spans="1:11" ht="12.75">
      <c r="A17" s="16"/>
      <c r="B17" s="45"/>
      <c r="C17" s="67"/>
      <c r="D17" s="70"/>
      <c r="E17" s="10"/>
      <c r="F17" s="10"/>
      <c r="G17" s="58"/>
      <c r="H17" s="70"/>
      <c r="I17" s="50"/>
      <c r="J17" s="79"/>
      <c r="K17" s="671"/>
    </row>
    <row r="18" spans="1:11" ht="12.75">
      <c r="A18" s="693" t="s">
        <v>404</v>
      </c>
      <c r="B18" s="198" t="s">
        <v>427</v>
      </c>
      <c r="C18" s="199"/>
      <c r="D18" s="200">
        <v>327422.53</v>
      </c>
      <c r="E18" s="202"/>
      <c r="F18" s="202">
        <v>16000</v>
      </c>
      <c r="G18" s="203">
        <f>F18+D18</f>
        <v>343422.53</v>
      </c>
      <c r="H18" s="200">
        <v>16371.12</v>
      </c>
      <c r="I18" s="204">
        <v>0</v>
      </c>
      <c r="J18" s="234">
        <f>I18+H18</f>
        <v>16371.12</v>
      </c>
      <c r="K18" s="235">
        <f t="shared" si="0"/>
        <v>0.047670489178447316</v>
      </c>
    </row>
    <row r="19" spans="1:11" ht="12.75">
      <c r="A19" s="16"/>
      <c r="B19" s="9"/>
      <c r="C19" s="67"/>
      <c r="D19" s="70"/>
      <c r="E19" s="10"/>
      <c r="F19" s="10"/>
      <c r="G19" s="58"/>
      <c r="H19" s="70"/>
      <c r="I19" s="50"/>
      <c r="J19" s="79"/>
      <c r="K19" s="671"/>
    </row>
    <row r="20" spans="1:11" ht="12.75">
      <c r="A20" s="693" t="s">
        <v>414</v>
      </c>
      <c r="B20" s="198" t="s">
        <v>429</v>
      </c>
      <c r="C20" s="199"/>
      <c r="D20" s="200">
        <v>269093.97</v>
      </c>
      <c r="E20" s="202"/>
      <c r="F20" s="202">
        <v>13000</v>
      </c>
      <c r="G20" s="203">
        <f>F20+D20</f>
        <v>282093.97</v>
      </c>
      <c r="H20" s="200">
        <v>13454.7</v>
      </c>
      <c r="I20" s="204">
        <v>0</v>
      </c>
      <c r="J20" s="234">
        <f>I20+H20</f>
        <v>13454.7</v>
      </c>
      <c r="K20" s="235">
        <f t="shared" si="0"/>
        <v>0.0476958085988155</v>
      </c>
    </row>
    <row r="21" spans="1:11" ht="12.75">
      <c r="A21" s="16"/>
      <c r="B21" s="9"/>
      <c r="C21" s="67"/>
      <c r="D21" s="70"/>
      <c r="E21" s="10"/>
      <c r="F21" s="10"/>
      <c r="G21" s="58"/>
      <c r="H21" s="70"/>
      <c r="I21" s="50"/>
      <c r="J21" s="79"/>
      <c r="K21" s="671"/>
    </row>
    <row r="22" spans="1:11" ht="12.75">
      <c r="A22" s="693" t="s">
        <v>430</v>
      </c>
      <c r="B22" s="198" t="s">
        <v>431</v>
      </c>
      <c r="C22" s="199"/>
      <c r="D22" s="200">
        <v>149393.82</v>
      </c>
      <c r="E22" s="202"/>
      <c r="F22" s="202">
        <v>7000</v>
      </c>
      <c r="G22" s="203">
        <f>F22+D22</f>
        <v>156393.82</v>
      </c>
      <c r="H22" s="200">
        <v>7469.69</v>
      </c>
      <c r="I22" s="204">
        <v>0</v>
      </c>
      <c r="J22" s="234">
        <f>I22+H22</f>
        <v>7469.69</v>
      </c>
      <c r="K22" s="235">
        <f t="shared" si="0"/>
        <v>0.04776205351336772</v>
      </c>
    </row>
    <row r="23" spans="1:11" ht="12.75">
      <c r="A23" s="16"/>
      <c r="B23" s="9"/>
      <c r="C23" s="67"/>
      <c r="D23" s="70"/>
      <c r="E23" s="10"/>
      <c r="F23" s="10"/>
      <c r="G23" s="58"/>
      <c r="H23" s="70"/>
      <c r="I23" s="50"/>
      <c r="J23" s="79"/>
      <c r="K23" s="671"/>
    </row>
    <row r="24" spans="1:11" ht="12.75">
      <c r="A24" s="693" t="s">
        <v>426</v>
      </c>
      <c r="B24" s="198" t="s">
        <v>332</v>
      </c>
      <c r="C24" s="199"/>
      <c r="D24" s="200">
        <v>314870.7</v>
      </c>
      <c r="E24" s="202"/>
      <c r="F24" s="202">
        <v>15000</v>
      </c>
      <c r="G24" s="203">
        <f>F24+D24</f>
        <v>329870.7</v>
      </c>
      <c r="H24" s="200">
        <v>15743.53</v>
      </c>
      <c r="I24" s="204">
        <v>0</v>
      </c>
      <c r="J24" s="234">
        <f>I24+H24</f>
        <v>15743.53</v>
      </c>
      <c r="K24" s="235">
        <f t="shared" si="0"/>
        <v>0.0477263667249016</v>
      </c>
    </row>
    <row r="25" spans="1:11" ht="12.75">
      <c r="A25" s="741"/>
      <c r="B25" s="593"/>
      <c r="C25" s="594"/>
      <c r="D25" s="595"/>
      <c r="E25" s="597"/>
      <c r="F25" s="597"/>
      <c r="G25" s="598"/>
      <c r="H25" s="595"/>
      <c r="I25" s="599"/>
      <c r="J25" s="600"/>
      <c r="K25" s="671"/>
    </row>
    <row r="26" spans="1:11" ht="12.75">
      <c r="A26" s="740" t="s">
        <v>450</v>
      </c>
      <c r="B26" s="213" t="s">
        <v>412</v>
      </c>
      <c r="C26" s="236"/>
      <c r="D26" s="214">
        <v>825240</v>
      </c>
      <c r="E26" s="215"/>
      <c r="F26" s="215">
        <v>33000</v>
      </c>
      <c r="G26" s="613">
        <f>F26+D26</f>
        <v>858240</v>
      </c>
      <c r="H26" s="214">
        <v>41262</v>
      </c>
      <c r="I26" s="216">
        <v>0</v>
      </c>
      <c r="J26" s="234">
        <f>I26+H26</f>
        <v>41262</v>
      </c>
      <c r="K26" s="235">
        <f t="shared" si="0"/>
        <v>0.04807746085011186</v>
      </c>
    </row>
    <row r="27" spans="1:11" ht="12.75">
      <c r="A27" s="741"/>
      <c r="B27" s="593"/>
      <c r="C27" s="594"/>
      <c r="D27" s="595"/>
      <c r="E27" s="597"/>
      <c r="F27" s="597"/>
      <c r="G27" s="598"/>
      <c r="H27" s="595"/>
      <c r="I27" s="599"/>
      <c r="J27" s="600"/>
      <c r="K27" s="601"/>
    </row>
    <row r="28" spans="1:11" ht="12.75">
      <c r="A28" s="740" t="s">
        <v>466</v>
      </c>
      <c r="B28" s="740" t="s">
        <v>361</v>
      </c>
      <c r="C28" s="740"/>
      <c r="D28" s="809">
        <v>83720</v>
      </c>
      <c r="E28" s="740"/>
      <c r="F28" s="809">
        <v>2500</v>
      </c>
      <c r="G28" s="809">
        <f>F28+D28</f>
        <v>86220</v>
      </c>
      <c r="H28" s="809">
        <v>4186</v>
      </c>
      <c r="I28" s="809">
        <v>0</v>
      </c>
      <c r="J28" s="809">
        <f>I28+H28</f>
        <v>4186</v>
      </c>
      <c r="K28" s="740">
        <f>J28/G28</f>
        <v>0.04855022036650429</v>
      </c>
    </row>
    <row r="29" spans="1:11" ht="12.75">
      <c r="A29" s="741"/>
      <c r="B29" s="593"/>
      <c r="C29" s="594"/>
      <c r="D29" s="595"/>
      <c r="E29" s="597"/>
      <c r="F29" s="597"/>
      <c r="G29" s="598"/>
      <c r="H29" s="595"/>
      <c r="I29" s="599"/>
      <c r="J29" s="600"/>
      <c r="K29" s="601"/>
    </row>
    <row r="30" spans="1:11" ht="12.75">
      <c r="A30" s="740" t="s">
        <v>467</v>
      </c>
      <c r="B30" s="740" t="s">
        <v>468</v>
      </c>
      <c r="C30" s="740"/>
      <c r="D30" s="809">
        <v>150576.4</v>
      </c>
      <c r="E30" s="740"/>
      <c r="F30" s="740">
        <v>0</v>
      </c>
      <c r="G30" s="740">
        <f>F30+D30</f>
        <v>150576.4</v>
      </c>
      <c r="H30" s="740">
        <v>0</v>
      </c>
      <c r="I30" s="740">
        <v>0</v>
      </c>
      <c r="J30" s="740">
        <f>I30+H30</f>
        <v>0</v>
      </c>
      <c r="K30" s="740">
        <f>J30/G30</f>
        <v>0</v>
      </c>
    </row>
    <row r="31" spans="1:11" ht="12.75">
      <c r="A31" s="741"/>
      <c r="B31" s="593"/>
      <c r="C31" s="594"/>
      <c r="D31" s="595"/>
      <c r="E31" s="597"/>
      <c r="F31" s="597"/>
      <c r="G31" s="598"/>
      <c r="H31" s="595"/>
      <c r="I31" s="599"/>
      <c r="J31" s="600"/>
      <c r="K31" s="601"/>
    </row>
    <row r="32" spans="1:11" ht="12.75">
      <c r="A32" s="740" t="s">
        <v>488</v>
      </c>
      <c r="B32" s="740" t="s">
        <v>489</v>
      </c>
      <c r="C32" s="740"/>
      <c r="D32" s="740">
        <v>140253.72</v>
      </c>
      <c r="E32" s="740"/>
      <c r="F32" s="740">
        <v>0</v>
      </c>
      <c r="G32" s="740">
        <f>F32+D32</f>
        <v>140253.72</v>
      </c>
      <c r="H32" s="740">
        <v>0</v>
      </c>
      <c r="I32" s="740">
        <v>0</v>
      </c>
      <c r="J32" s="740">
        <f>I32+H32</f>
        <v>0</v>
      </c>
      <c r="K32" s="740"/>
    </row>
    <row r="33" spans="1:11" ht="12.75">
      <c r="A33" s="741"/>
      <c r="B33" s="593"/>
      <c r="C33" s="594"/>
      <c r="D33" s="595"/>
      <c r="E33" s="597"/>
      <c r="F33" s="597"/>
      <c r="G33" s="598"/>
      <c r="H33" s="595"/>
      <c r="I33" s="599"/>
      <c r="J33" s="600"/>
      <c r="K33" s="601"/>
    </row>
    <row r="34" spans="1:11" ht="13.5" thickBot="1">
      <c r="A34" s="17"/>
      <c r="B34" s="18"/>
      <c r="C34" s="105"/>
      <c r="D34" s="106"/>
      <c r="E34" s="19"/>
      <c r="F34" s="19"/>
      <c r="G34" s="59"/>
      <c r="H34" s="106"/>
      <c r="I34" s="60"/>
      <c r="J34" s="79"/>
      <c r="K34" s="112"/>
    </row>
    <row r="35" spans="1:11" ht="15.75" thickBot="1">
      <c r="A35" s="20" t="s">
        <v>0</v>
      </c>
      <c r="B35" s="21"/>
      <c r="C35" s="68"/>
      <c r="D35" s="75">
        <f>SUM(D7:D34)</f>
        <v>4780036.500000001</v>
      </c>
      <c r="E35" s="22"/>
      <c r="F35" s="22">
        <f>SUM(F7:F34)</f>
        <v>200500</v>
      </c>
      <c r="G35" s="62">
        <f>SUM(G7:G34)</f>
        <v>4980536.500000001</v>
      </c>
      <c r="H35" s="75">
        <f>SUM(H7:H34)</f>
        <v>956046.1299999999</v>
      </c>
      <c r="I35" s="53">
        <f>SUM(I7:I34)</f>
        <v>12513.26</v>
      </c>
      <c r="J35" s="53">
        <f>SUM(J7:J34)</f>
        <v>968559.3899999999</v>
      </c>
      <c r="K35" s="84">
        <f>H35/G35</f>
        <v>0.19195645489195787</v>
      </c>
    </row>
    <row r="37" ht="13.5" thickBot="1"/>
    <row r="38" spans="1:10" ht="15">
      <c r="A38" s="56" t="s">
        <v>122</v>
      </c>
      <c r="B38" s="57"/>
      <c r="F38" s="3"/>
      <c r="G38" s="3"/>
      <c r="I38" s="14" t="s">
        <v>168</v>
      </c>
      <c r="J38" s="14" t="s">
        <v>1</v>
      </c>
    </row>
    <row r="39" spans="1:10" ht="15">
      <c r="A39" s="16" t="s">
        <v>123</v>
      </c>
      <c r="B39" s="63">
        <f>D35-H35</f>
        <v>3823990.370000001</v>
      </c>
      <c r="E39" s="163"/>
      <c r="F39" s="3" t="s">
        <v>162</v>
      </c>
      <c r="G39" s="3"/>
      <c r="I39" s="160">
        <f>D8</f>
        <v>920561</v>
      </c>
      <c r="J39" s="160">
        <f>H8</f>
        <v>697665.54</v>
      </c>
    </row>
    <row r="40" spans="1:10" ht="15">
      <c r="A40" s="16" t="s">
        <v>124</v>
      </c>
      <c r="B40" s="63">
        <f>F35-I35</f>
        <v>187986.74</v>
      </c>
      <c r="F40" s="3"/>
      <c r="G40" s="3"/>
      <c r="H40" s="3"/>
      <c r="I40" s="10"/>
      <c r="J40" s="10"/>
    </row>
    <row r="41" spans="1:10" ht="15.75" thickBot="1">
      <c r="A41" s="17" t="s">
        <v>125</v>
      </c>
      <c r="B41" s="64">
        <f>SUM(B39:B40)</f>
        <v>4011977.1100000013</v>
      </c>
      <c r="E41" s="164"/>
      <c r="F41" s="3" t="s">
        <v>163</v>
      </c>
      <c r="G41" s="3"/>
      <c r="I41" s="169"/>
      <c r="J41" s="169"/>
    </row>
    <row r="42" spans="6:10" ht="12.75">
      <c r="F42" s="3"/>
      <c r="G42" s="3"/>
      <c r="I42" s="9"/>
      <c r="J42" s="9"/>
    </row>
    <row r="43" spans="5:10" ht="12.75">
      <c r="E43" s="174"/>
      <c r="F43" s="3" t="s">
        <v>164</v>
      </c>
      <c r="G43" s="3"/>
      <c r="I43" s="180">
        <f>D10</f>
        <v>10000</v>
      </c>
      <c r="J43" s="180">
        <f>H10</f>
        <v>6595.34</v>
      </c>
    </row>
    <row r="44" spans="6:10" ht="12.75">
      <c r="F44" s="3"/>
      <c r="G44" s="3"/>
      <c r="I44" s="9"/>
      <c r="J44" s="9"/>
    </row>
    <row r="45" spans="5:10" ht="12.75">
      <c r="E45" s="196"/>
      <c r="F45" s="3" t="s">
        <v>167</v>
      </c>
      <c r="G45" s="3"/>
      <c r="I45" s="202">
        <f>D12+D14+D16+D18+D20+D22+D24+D26+D28+D30+D32</f>
        <v>3849475.5000000005</v>
      </c>
      <c r="J45" s="202">
        <f>H12+H14+H16+H18+H20+H22+H24+H26+H28+H30+H32</f>
        <v>251785.25</v>
      </c>
    </row>
    <row r="46" spans="6:10" ht="13.5" thickBot="1">
      <c r="F46" s="3"/>
      <c r="G46" s="3"/>
      <c r="I46" s="42"/>
      <c r="J46" s="42"/>
    </row>
    <row r="47" spans="3:10" ht="13.5" thickBot="1">
      <c r="C47" s="3"/>
      <c r="F47" s="3"/>
      <c r="G47" s="3"/>
      <c r="I47" s="218">
        <f>SUM(I39:I45)</f>
        <v>4780036.5</v>
      </c>
      <c r="J47" s="218">
        <f>SUM(J39:J45)</f>
        <v>956046.13</v>
      </c>
    </row>
    <row r="48" spans="6:7" ht="13.5" thickBot="1">
      <c r="F48" s="3"/>
      <c r="G48" s="3"/>
    </row>
    <row r="49" spans="6:10" ht="13.5" thickBot="1">
      <c r="F49" s="3"/>
      <c r="G49" s="3"/>
      <c r="H49" t="s">
        <v>169</v>
      </c>
      <c r="I49" s="217">
        <f>F35</f>
        <v>200500</v>
      </c>
      <c r="J49" s="219">
        <f>I35</f>
        <v>12513.26</v>
      </c>
    </row>
    <row r="50" spans="6:7" ht="13.5" thickBot="1">
      <c r="F50" s="3"/>
      <c r="G50" s="3"/>
    </row>
    <row r="51" spans="6:10" ht="13.5" thickBot="1">
      <c r="F51" s="3"/>
      <c r="G51" s="3"/>
      <c r="H51" t="s">
        <v>125</v>
      </c>
      <c r="I51" s="217">
        <f>I47+I49</f>
        <v>4980536.5</v>
      </c>
      <c r="J51" s="219">
        <f>J47+J49</f>
        <v>968559.39</v>
      </c>
    </row>
  </sheetData>
  <sheetProtection/>
  <mergeCells count="10">
    <mergeCell ref="K5:K6"/>
    <mergeCell ref="F5:F6"/>
    <mergeCell ref="G5:G6"/>
    <mergeCell ref="H5:H6"/>
    <mergeCell ref="I5:I6"/>
    <mergeCell ref="J5:J6"/>
    <mergeCell ref="A5:A6"/>
    <mergeCell ref="B5:B6"/>
    <mergeCell ref="C5:C6"/>
    <mergeCell ref="D5:D6"/>
  </mergeCells>
  <printOptions/>
  <pageMargins left="0.75" right="0.75" top="1" bottom="1" header="0.4921259845" footer="0.4921259845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3"/>
  <sheetViews>
    <sheetView zoomScalePageLayoutView="0" workbookViewId="0" topLeftCell="B1">
      <selection activeCell="J9" sqref="J9"/>
    </sheetView>
  </sheetViews>
  <sheetFormatPr defaultColWidth="11.421875" defaultRowHeight="12.75"/>
  <cols>
    <col min="1" max="1" width="22.7109375" style="0" customWidth="1"/>
    <col min="8" max="8" width="2.28125" style="0" customWidth="1"/>
    <col min="10" max="10" width="2.28125" style="0" customWidth="1"/>
    <col min="12" max="12" width="1.57421875" style="0" customWidth="1"/>
    <col min="13" max="13" width="11.421875" style="559" customWidth="1"/>
    <col min="14" max="14" width="1.421875" style="559" customWidth="1"/>
    <col min="15" max="15" width="11.421875" style="559" customWidth="1"/>
    <col min="16" max="16" width="1.421875" style="559" customWidth="1"/>
    <col min="17" max="17" width="11.421875" style="559" customWidth="1"/>
    <col min="18" max="18" width="1.421875" style="559" customWidth="1"/>
    <col min="19" max="19" width="11.421875" style="559" customWidth="1"/>
    <col min="20" max="20" width="1.421875" style="0" customWidth="1"/>
    <col min="22" max="22" width="1.421875" style="0" customWidth="1"/>
  </cols>
  <sheetData>
    <row r="2" spans="2:11" ht="19.5">
      <c r="B2" s="846" t="s">
        <v>57</v>
      </c>
      <c r="C2" s="846"/>
      <c r="D2" s="846"/>
      <c r="E2" s="846"/>
      <c r="F2" s="846"/>
      <c r="G2" s="846"/>
      <c r="H2" s="846"/>
      <c r="I2" s="846"/>
      <c r="J2" s="846"/>
      <c r="K2" s="846"/>
    </row>
    <row r="4" ht="13.5" thickBot="1"/>
    <row r="5" spans="2:21" ht="15.75" thickBot="1">
      <c r="B5" s="838" t="s">
        <v>137</v>
      </c>
      <c r="C5" s="839"/>
      <c r="D5" s="839"/>
      <c r="E5" s="839"/>
      <c r="F5" s="839"/>
      <c r="G5" s="839"/>
      <c r="H5" s="839"/>
      <c r="I5" s="839"/>
      <c r="J5" s="839"/>
      <c r="K5" s="840"/>
      <c r="M5" s="845"/>
      <c r="N5" s="845"/>
      <c r="O5" s="845"/>
      <c r="P5" s="845"/>
      <c r="Q5" s="845"/>
      <c r="R5" s="845"/>
      <c r="S5" s="845"/>
      <c r="T5" s="845"/>
      <c r="U5" s="845"/>
    </row>
    <row r="6" spans="13:21" ht="12.75">
      <c r="M6" s="568"/>
      <c r="N6" s="568"/>
      <c r="O6" s="568"/>
      <c r="P6" s="568"/>
      <c r="Q6" s="568"/>
      <c r="R6" s="568"/>
      <c r="S6" s="568"/>
      <c r="T6" s="100"/>
      <c r="U6" s="100"/>
    </row>
    <row r="7" spans="9:21" ht="12.75">
      <c r="I7" t="s">
        <v>138</v>
      </c>
      <c r="M7" s="568"/>
      <c r="N7" s="568"/>
      <c r="O7" s="568"/>
      <c r="P7" s="568"/>
      <c r="Q7" s="568"/>
      <c r="R7" s="568"/>
      <c r="S7" s="568"/>
      <c r="T7" s="100"/>
      <c r="U7" s="100"/>
    </row>
    <row r="8" spans="13:21" ht="13.5" thickBot="1">
      <c r="M8" s="568"/>
      <c r="N8" s="568"/>
      <c r="O8" s="568"/>
      <c r="P8" s="568"/>
      <c r="Q8" s="568"/>
      <c r="R8" s="568"/>
      <c r="S8" s="568"/>
      <c r="T8" s="100"/>
      <c r="U8" s="100"/>
    </row>
    <row r="9" spans="2:21" ht="16.5" thickBot="1">
      <c r="B9" s="849" t="s">
        <v>139</v>
      </c>
      <c r="C9" s="850"/>
      <c r="D9" s="850"/>
      <c r="E9" s="850"/>
      <c r="F9" s="850"/>
      <c r="G9" s="851"/>
      <c r="I9" s="333">
        <v>102423</v>
      </c>
      <c r="K9" s="328" t="s">
        <v>219</v>
      </c>
      <c r="M9" s="567"/>
      <c r="N9" s="567"/>
      <c r="O9" s="567"/>
      <c r="P9" s="567"/>
      <c r="Q9" s="844"/>
      <c r="R9" s="567"/>
      <c r="S9" s="844"/>
      <c r="T9" s="569"/>
      <c r="U9" s="844"/>
    </row>
    <row r="10" spans="9:21" ht="15.75" thickBot="1">
      <c r="I10" s="334"/>
      <c r="K10" s="291"/>
      <c r="M10" s="567"/>
      <c r="N10" s="567"/>
      <c r="O10" s="567"/>
      <c r="P10" s="567"/>
      <c r="Q10" s="844"/>
      <c r="R10" s="567"/>
      <c r="S10" s="844"/>
      <c r="T10" s="569"/>
      <c r="U10" s="844"/>
    </row>
    <row r="11" spans="2:21" ht="16.5" customHeight="1" thickBot="1">
      <c r="B11" s="849" t="s">
        <v>225</v>
      </c>
      <c r="C11" s="850"/>
      <c r="D11" s="850"/>
      <c r="E11" s="850"/>
      <c r="F11" s="850"/>
      <c r="G11" s="851"/>
      <c r="I11" s="841">
        <v>17737</v>
      </c>
      <c r="K11" s="329" t="s">
        <v>220</v>
      </c>
      <c r="M11" s="567"/>
      <c r="N11" s="567"/>
      <c r="O11" s="567"/>
      <c r="P11" s="567"/>
      <c r="Q11" s="844"/>
      <c r="R11" s="567"/>
      <c r="S11" s="844"/>
      <c r="T11" s="569"/>
      <c r="U11" s="844"/>
    </row>
    <row r="12" spans="9:21" ht="13.5" thickBot="1">
      <c r="I12" s="842"/>
      <c r="K12" s="291"/>
      <c r="M12" s="567"/>
      <c r="N12" s="567"/>
      <c r="O12" s="567"/>
      <c r="P12" s="567"/>
      <c r="Q12" s="844"/>
      <c r="R12" s="567"/>
      <c r="S12" s="844"/>
      <c r="T12" s="569"/>
      <c r="U12" s="844"/>
    </row>
    <row r="13" spans="2:21" ht="16.5" thickBot="1">
      <c r="B13" s="849" t="s">
        <v>227</v>
      </c>
      <c r="C13" s="850"/>
      <c r="D13" s="850"/>
      <c r="E13" s="850"/>
      <c r="F13" s="850"/>
      <c r="G13" s="851"/>
      <c r="I13" s="843"/>
      <c r="K13" s="328" t="s">
        <v>226</v>
      </c>
      <c r="L13" s="558"/>
      <c r="M13" s="567"/>
      <c r="N13" s="567"/>
      <c r="O13" s="567"/>
      <c r="P13" s="567"/>
      <c r="Q13" s="844"/>
      <c r="R13" s="567"/>
      <c r="S13" s="844"/>
      <c r="T13" s="569"/>
      <c r="U13" s="844"/>
    </row>
    <row r="14" spans="9:21" ht="15.75" thickBot="1">
      <c r="I14" s="334"/>
      <c r="K14" s="291"/>
      <c r="M14" s="567"/>
      <c r="N14" s="567"/>
      <c r="O14" s="567"/>
      <c r="P14" s="567"/>
      <c r="Q14" s="567"/>
      <c r="R14" s="567"/>
      <c r="S14" s="567"/>
      <c r="T14" s="569"/>
      <c r="U14" s="569"/>
    </row>
    <row r="15" spans="2:21" ht="33.75" customHeight="1" thickBot="1">
      <c r="B15" s="852" t="s">
        <v>224</v>
      </c>
      <c r="C15" s="853"/>
      <c r="D15" s="853"/>
      <c r="E15" s="853"/>
      <c r="F15" s="853"/>
      <c r="G15" s="854"/>
      <c r="I15" s="335" t="s">
        <v>241</v>
      </c>
      <c r="K15" s="607" t="s">
        <v>222</v>
      </c>
      <c r="M15" s="567"/>
      <c r="N15" s="567"/>
      <c r="O15" s="567"/>
      <c r="P15" s="567"/>
      <c r="Q15" s="567"/>
      <c r="R15" s="567"/>
      <c r="S15" s="567"/>
      <c r="T15" s="569"/>
      <c r="U15" s="570"/>
    </row>
    <row r="16" spans="9:21" ht="15.75" thickBot="1">
      <c r="I16" s="334"/>
      <c r="K16" s="291"/>
      <c r="M16" s="567"/>
      <c r="N16" s="567"/>
      <c r="O16" s="567"/>
      <c r="P16" s="567"/>
      <c r="Q16" s="567"/>
      <c r="R16" s="567"/>
      <c r="S16" s="567"/>
      <c r="T16" s="569"/>
      <c r="U16" s="569"/>
    </row>
    <row r="17" spans="2:21" ht="16.5" thickBot="1">
      <c r="B17" s="849" t="s">
        <v>231</v>
      </c>
      <c r="C17" s="850"/>
      <c r="D17" s="850"/>
      <c r="E17" s="850"/>
      <c r="F17" s="850"/>
      <c r="G17" s="851"/>
      <c r="I17" s="333">
        <v>8500</v>
      </c>
      <c r="K17" s="328" t="s">
        <v>223</v>
      </c>
      <c r="M17" s="567"/>
      <c r="N17" s="567"/>
      <c r="O17" s="567"/>
      <c r="P17" s="567"/>
      <c r="Q17" s="567"/>
      <c r="R17" s="567"/>
      <c r="S17" s="567"/>
      <c r="T17" s="569"/>
      <c r="U17" s="567"/>
    </row>
    <row r="18" spans="9:21" ht="13.5" thickBot="1">
      <c r="I18" s="121"/>
      <c r="M18" s="567"/>
      <c r="N18" s="567"/>
      <c r="O18" s="567"/>
      <c r="P18" s="567"/>
      <c r="Q18" s="567"/>
      <c r="R18" s="567"/>
      <c r="S18" s="567"/>
      <c r="T18" s="569"/>
      <c r="U18" s="567"/>
    </row>
    <row r="19" spans="2:21" ht="16.5" thickBot="1">
      <c r="B19" s="849" t="s">
        <v>140</v>
      </c>
      <c r="C19" s="850"/>
      <c r="D19" s="850"/>
      <c r="E19" s="850"/>
      <c r="F19" s="850"/>
      <c r="G19" s="851"/>
      <c r="I19" s="333">
        <v>19010</v>
      </c>
      <c r="K19" s="328" t="s">
        <v>221</v>
      </c>
      <c r="M19" s="567"/>
      <c r="N19" s="567"/>
      <c r="O19" s="567"/>
      <c r="P19" s="567"/>
      <c r="Q19" s="567"/>
      <c r="R19" s="567"/>
      <c r="S19" s="567"/>
      <c r="T19" s="569"/>
      <c r="U19" s="567"/>
    </row>
    <row r="20" spans="2:21" s="220" customFormat="1" ht="16.5" thickBot="1">
      <c r="B20" s="330"/>
      <c r="C20" s="221"/>
      <c r="D20" s="221"/>
      <c r="E20" s="221"/>
      <c r="F20" s="221"/>
      <c r="G20" s="574"/>
      <c r="I20" s="573"/>
      <c r="K20" s="557"/>
      <c r="M20" s="567"/>
      <c r="N20" s="567"/>
      <c r="O20" s="567"/>
      <c r="P20" s="567"/>
      <c r="Q20" s="567"/>
      <c r="R20" s="567"/>
      <c r="S20" s="567"/>
      <c r="T20" s="569"/>
      <c r="U20" s="569"/>
    </row>
    <row r="21" spans="7:21" ht="15.75" thickBot="1">
      <c r="G21" s="122" t="s">
        <v>141</v>
      </c>
      <c r="H21" s="123"/>
      <c r="I21" s="124">
        <v>160270</v>
      </c>
      <c r="M21" s="571"/>
      <c r="N21" s="571"/>
      <c r="O21" s="571"/>
      <c r="P21" s="571"/>
      <c r="Q21" s="571"/>
      <c r="R21" s="571"/>
      <c r="S21" s="571"/>
      <c r="T21" s="572"/>
      <c r="U21" s="572"/>
    </row>
    <row r="23" spans="2:9" ht="39" customHeight="1">
      <c r="B23" s="847" t="s">
        <v>228</v>
      </c>
      <c r="C23" s="848"/>
      <c r="D23" s="848"/>
      <c r="E23" s="848"/>
      <c r="F23" s="848"/>
      <c r="G23" s="848"/>
      <c r="H23" s="848"/>
      <c r="I23" s="848"/>
    </row>
  </sheetData>
  <sheetProtection/>
  <mergeCells count="14">
    <mergeCell ref="U9:U13"/>
    <mergeCell ref="M5:U5"/>
    <mergeCell ref="B2:K2"/>
    <mergeCell ref="B23:I23"/>
    <mergeCell ref="B19:G19"/>
    <mergeCell ref="B15:G15"/>
    <mergeCell ref="B17:G17"/>
    <mergeCell ref="B13:G13"/>
    <mergeCell ref="B9:G9"/>
    <mergeCell ref="B11:G11"/>
    <mergeCell ref="B5:K5"/>
    <mergeCell ref="I11:I13"/>
    <mergeCell ref="Q9:Q13"/>
    <mergeCell ref="S9:S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"/>
  <sheetViews>
    <sheetView zoomScalePageLayoutView="0" workbookViewId="0" topLeftCell="B4">
      <selection activeCell="K31" sqref="K31"/>
    </sheetView>
  </sheetViews>
  <sheetFormatPr defaultColWidth="11.421875" defaultRowHeight="12.75"/>
  <cols>
    <col min="7" max="7" width="2.28125" style="0" customWidth="1"/>
    <col min="9" max="10" width="4.28125" style="0" customWidth="1"/>
    <col min="11" max="11" width="11.421875" style="559" customWidth="1"/>
    <col min="12" max="12" width="1.421875" style="559" customWidth="1"/>
    <col min="13" max="13" width="11.421875" style="559" customWidth="1"/>
    <col min="14" max="14" width="1.421875" style="559" customWidth="1"/>
    <col min="15" max="15" width="11.421875" style="559" customWidth="1"/>
    <col min="16" max="16" width="1.421875" style="559" customWidth="1"/>
    <col min="17" max="17" width="11.421875" style="559" customWidth="1"/>
    <col min="18" max="18" width="1.421875" style="0" customWidth="1"/>
    <col min="20" max="20" width="1.421875" style="0" customWidth="1"/>
    <col min="22" max="22" width="1.421875" style="0" customWidth="1"/>
  </cols>
  <sheetData>
    <row r="2" spans="1:22" ht="19.5">
      <c r="A2" s="846" t="s">
        <v>57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640"/>
    </row>
    <row r="4" ht="13.5" thickBot="1"/>
    <row r="5" spans="1:23" ht="15.75" thickBot="1">
      <c r="A5" s="838" t="s">
        <v>137</v>
      </c>
      <c r="B5" s="839"/>
      <c r="C5" s="839"/>
      <c r="D5" s="839"/>
      <c r="E5" s="839"/>
      <c r="F5" s="839"/>
      <c r="G5" s="839"/>
      <c r="H5" s="839"/>
      <c r="I5" s="840"/>
      <c r="K5" s="838" t="s">
        <v>290</v>
      </c>
      <c r="L5" s="839"/>
      <c r="M5" s="839"/>
      <c r="N5" s="839"/>
      <c r="O5" s="839"/>
      <c r="P5" s="839"/>
      <c r="Q5" s="839"/>
      <c r="R5" s="839"/>
      <c r="S5" s="839"/>
      <c r="T5" s="839"/>
      <c r="U5" s="839"/>
      <c r="V5" s="839"/>
      <c r="W5" s="840"/>
    </row>
    <row r="6" ht="13.5" thickBot="1"/>
    <row r="7" spans="8:23" ht="12.75" customHeight="1">
      <c r="H7" t="s">
        <v>138</v>
      </c>
      <c r="K7" s="855" t="s">
        <v>292</v>
      </c>
      <c r="M7" s="855" t="s">
        <v>293</v>
      </c>
      <c r="O7" s="855" t="s">
        <v>297</v>
      </c>
      <c r="Q7" s="855" t="s">
        <v>296</v>
      </c>
      <c r="S7" s="857" t="s">
        <v>295</v>
      </c>
      <c r="T7" s="291"/>
      <c r="U7" s="857" t="s">
        <v>294</v>
      </c>
      <c r="V7" s="663"/>
      <c r="W7" s="857" t="s">
        <v>334</v>
      </c>
    </row>
    <row r="8" spans="11:23" ht="13.5" thickBot="1">
      <c r="K8" s="856"/>
      <c r="M8" s="856"/>
      <c r="O8" s="856"/>
      <c r="Q8" s="856"/>
      <c r="S8" s="858"/>
      <c r="U8" s="858"/>
      <c r="V8" s="664"/>
      <c r="W8" s="858"/>
    </row>
    <row r="9" ht="13.5" thickBot="1"/>
    <row r="10" spans="1:23" ht="16.5" customHeight="1" thickBot="1">
      <c r="A10" s="849" t="s">
        <v>139</v>
      </c>
      <c r="B10" s="850"/>
      <c r="C10" s="850"/>
      <c r="D10" s="850"/>
      <c r="E10" s="850"/>
      <c r="F10" s="851"/>
      <c r="H10" s="333">
        <v>102423</v>
      </c>
      <c r="K10" s="865">
        <v>92400</v>
      </c>
      <c r="L10" s="560"/>
      <c r="M10" s="865">
        <v>105160</v>
      </c>
      <c r="N10" s="560"/>
      <c r="O10" s="865">
        <v>120160</v>
      </c>
      <c r="P10" s="560"/>
      <c r="Q10" s="862">
        <v>120160</v>
      </c>
      <c r="R10" s="121"/>
      <c r="S10" s="862">
        <v>120160</v>
      </c>
      <c r="U10" s="859" t="s">
        <v>291</v>
      </c>
      <c r="V10" s="665"/>
      <c r="W10" s="859" t="s">
        <v>291</v>
      </c>
    </row>
    <row r="11" spans="8:23" ht="15.75" thickBot="1">
      <c r="H11" s="334"/>
      <c r="K11" s="866"/>
      <c r="L11" s="560"/>
      <c r="M11" s="866"/>
      <c r="N11" s="560"/>
      <c r="O11" s="866"/>
      <c r="P11" s="560"/>
      <c r="Q11" s="863"/>
      <c r="R11" s="121"/>
      <c r="S11" s="863"/>
      <c r="U11" s="860"/>
      <c r="V11" s="666"/>
      <c r="W11" s="860"/>
    </row>
    <row r="12" spans="1:23" ht="16.5" customHeight="1" thickBot="1">
      <c r="A12" s="849" t="s">
        <v>225</v>
      </c>
      <c r="B12" s="850"/>
      <c r="C12" s="850"/>
      <c r="D12" s="850"/>
      <c r="E12" s="850"/>
      <c r="F12" s="851"/>
      <c r="H12" s="841">
        <v>17737</v>
      </c>
      <c r="K12" s="866"/>
      <c r="L12" s="560"/>
      <c r="M12" s="866"/>
      <c r="N12" s="560"/>
      <c r="O12" s="866"/>
      <c r="P12" s="560"/>
      <c r="Q12" s="863"/>
      <c r="R12" s="121"/>
      <c r="S12" s="863"/>
      <c r="U12" s="860"/>
      <c r="V12" s="666"/>
      <c r="W12" s="860"/>
    </row>
    <row r="13" spans="8:23" ht="13.5" thickBot="1">
      <c r="H13" s="842"/>
      <c r="K13" s="866"/>
      <c r="L13" s="560"/>
      <c r="M13" s="866"/>
      <c r="N13" s="560"/>
      <c r="O13" s="866"/>
      <c r="P13" s="560"/>
      <c r="Q13" s="863"/>
      <c r="R13" s="121"/>
      <c r="S13" s="863"/>
      <c r="U13" s="860"/>
      <c r="V13" s="666"/>
      <c r="W13" s="860"/>
    </row>
    <row r="14" spans="1:23" ht="16.5" thickBot="1">
      <c r="A14" s="849" t="s">
        <v>227</v>
      </c>
      <c r="B14" s="850"/>
      <c r="C14" s="850"/>
      <c r="D14" s="850"/>
      <c r="E14" s="850"/>
      <c r="F14" s="851"/>
      <c r="H14" s="843"/>
      <c r="J14" s="558"/>
      <c r="K14" s="866"/>
      <c r="L14" s="560"/>
      <c r="M14" s="867"/>
      <c r="N14" s="560"/>
      <c r="O14" s="867"/>
      <c r="P14" s="560"/>
      <c r="Q14" s="864"/>
      <c r="R14" s="121"/>
      <c r="S14" s="864"/>
      <c r="U14" s="860"/>
      <c r="V14" s="666"/>
      <c r="W14" s="860"/>
    </row>
    <row r="15" spans="8:23" ht="15.75" thickBot="1">
      <c r="H15" s="334"/>
      <c r="K15" s="866"/>
      <c r="L15" s="560"/>
      <c r="M15" s="560"/>
      <c r="N15" s="560"/>
      <c r="O15" s="560"/>
      <c r="P15" s="560"/>
      <c r="Q15" s="560"/>
      <c r="R15" s="121"/>
      <c r="S15" s="121"/>
      <c r="U15" s="860"/>
      <c r="V15" s="666"/>
      <c r="W15" s="860"/>
    </row>
    <row r="16" spans="1:23" ht="33.75" customHeight="1" thickBot="1">
      <c r="A16" s="852" t="s">
        <v>224</v>
      </c>
      <c r="B16" s="853"/>
      <c r="C16" s="853"/>
      <c r="D16" s="853"/>
      <c r="E16" s="853"/>
      <c r="F16" s="854"/>
      <c r="H16" s="335" t="s">
        <v>241</v>
      </c>
      <c r="K16" s="867"/>
      <c r="L16" s="560"/>
      <c r="M16" s="575">
        <v>5000</v>
      </c>
      <c r="N16" s="560"/>
      <c r="O16" s="561">
        <v>5000</v>
      </c>
      <c r="P16" s="560"/>
      <c r="Q16" s="561">
        <v>5000</v>
      </c>
      <c r="R16" s="121"/>
      <c r="S16" s="576" t="s">
        <v>289</v>
      </c>
      <c r="U16" s="860"/>
      <c r="V16" s="666"/>
      <c r="W16" s="860"/>
    </row>
    <row r="17" spans="8:23" ht="15.75" thickBot="1">
      <c r="H17" s="334"/>
      <c r="K17" s="560"/>
      <c r="L17" s="560"/>
      <c r="M17" s="560"/>
      <c r="N17" s="560"/>
      <c r="O17" s="560"/>
      <c r="P17" s="560"/>
      <c r="Q17" s="560"/>
      <c r="R17" s="121"/>
      <c r="S17" s="121"/>
      <c r="U17" s="860"/>
      <c r="V17" s="666"/>
      <c r="W17" s="860"/>
    </row>
    <row r="18" spans="1:23" ht="16.5" thickBot="1">
      <c r="A18" s="849" t="s">
        <v>231</v>
      </c>
      <c r="B18" s="850"/>
      <c r="C18" s="850"/>
      <c r="D18" s="850"/>
      <c r="E18" s="850"/>
      <c r="F18" s="851"/>
      <c r="H18" s="333">
        <v>8500</v>
      </c>
      <c r="K18" s="560"/>
      <c r="L18" s="560"/>
      <c r="M18" s="560"/>
      <c r="N18" s="560"/>
      <c r="O18" s="560"/>
      <c r="P18" s="560"/>
      <c r="Q18" s="575">
        <v>8500</v>
      </c>
      <c r="R18" s="121"/>
      <c r="S18" s="561">
        <v>8500</v>
      </c>
      <c r="U18" s="860"/>
      <c r="V18" s="666"/>
      <c r="W18" s="860"/>
    </row>
    <row r="19" spans="8:23" ht="13.5" thickBot="1">
      <c r="H19" s="121"/>
      <c r="K19" s="560"/>
      <c r="L19" s="560"/>
      <c r="M19" s="560"/>
      <c r="N19" s="560"/>
      <c r="O19" s="560"/>
      <c r="P19" s="560"/>
      <c r="Q19" s="560"/>
      <c r="R19" s="121"/>
      <c r="S19" s="560"/>
      <c r="U19" s="860"/>
      <c r="V19" s="666"/>
      <c r="W19" s="860"/>
    </row>
    <row r="20" spans="1:23" ht="16.5" thickBot="1">
      <c r="A20" s="849" t="s">
        <v>140</v>
      </c>
      <c r="B20" s="850"/>
      <c r="C20" s="850"/>
      <c r="D20" s="850"/>
      <c r="E20" s="850"/>
      <c r="F20" s="851"/>
      <c r="H20" s="333">
        <v>19010</v>
      </c>
      <c r="K20" s="575">
        <v>13800</v>
      </c>
      <c r="L20" s="560"/>
      <c r="M20" s="575">
        <v>19010</v>
      </c>
      <c r="N20" s="560"/>
      <c r="O20" s="561">
        <v>19010</v>
      </c>
      <c r="P20" s="560"/>
      <c r="Q20" s="561">
        <v>19010</v>
      </c>
      <c r="R20" s="121"/>
      <c r="S20" s="561">
        <v>19010</v>
      </c>
      <c r="U20" s="861"/>
      <c r="V20" s="666"/>
      <c r="W20" s="861"/>
    </row>
    <row r="21" spans="1:19" s="220" customFormat="1" ht="16.5" thickBot="1">
      <c r="A21" s="330"/>
      <c r="B21" s="221"/>
      <c r="C21" s="221"/>
      <c r="D21" s="221"/>
      <c r="E21" s="221"/>
      <c r="F21" s="574"/>
      <c r="H21" s="573"/>
      <c r="K21" s="562"/>
      <c r="L21" s="562"/>
      <c r="M21" s="562"/>
      <c r="N21" s="562"/>
      <c r="O21" s="562"/>
      <c r="P21" s="562"/>
      <c r="Q21" s="562"/>
      <c r="R21" s="514"/>
      <c r="S21" s="514"/>
    </row>
    <row r="22" spans="6:23" ht="15.75" thickBot="1">
      <c r="F22" s="122" t="s">
        <v>141</v>
      </c>
      <c r="G22" s="123"/>
      <c r="H22" s="124">
        <v>160270</v>
      </c>
      <c r="K22" s="563">
        <f>SUM(K10:K20)</f>
        <v>106200</v>
      </c>
      <c r="L22" s="564"/>
      <c r="M22" s="563">
        <f>SUM(M10:M20)</f>
        <v>129170</v>
      </c>
      <c r="N22" s="564"/>
      <c r="O22" s="563">
        <f>SUM(O10:O21)</f>
        <v>144170</v>
      </c>
      <c r="P22" s="564"/>
      <c r="Q22" s="563">
        <f>SUM(Q10:Q20)</f>
        <v>152670</v>
      </c>
      <c r="R22" s="565"/>
      <c r="S22" s="566">
        <v>160270</v>
      </c>
      <c r="U22" s="566">
        <v>160270</v>
      </c>
      <c r="V22" s="572"/>
      <c r="W22" s="566">
        <v>160270</v>
      </c>
    </row>
    <row r="23" spans="11:23" ht="20.25">
      <c r="K23" s="578" t="s">
        <v>299</v>
      </c>
      <c r="M23" s="578" t="s">
        <v>300</v>
      </c>
      <c r="O23" s="578" t="s">
        <v>300</v>
      </c>
      <c r="Q23" s="578" t="s">
        <v>300</v>
      </c>
      <c r="S23" s="578" t="s">
        <v>300</v>
      </c>
      <c r="U23" s="578" t="s">
        <v>300</v>
      </c>
      <c r="V23" s="578"/>
      <c r="W23" s="578" t="s">
        <v>300</v>
      </c>
    </row>
    <row r="24" spans="1:8" ht="52.5" customHeight="1">
      <c r="A24" s="847" t="s">
        <v>298</v>
      </c>
      <c r="B24" s="848"/>
      <c r="C24" s="848"/>
      <c r="D24" s="848"/>
      <c r="E24" s="848"/>
      <c r="F24" s="848"/>
      <c r="G24" s="848"/>
      <c r="H24" s="848"/>
    </row>
    <row r="25" ht="12.75">
      <c r="A25" s="577"/>
    </row>
  </sheetData>
  <sheetProtection/>
  <mergeCells count="25">
    <mergeCell ref="Q10:Q14"/>
    <mergeCell ref="A5:I5"/>
    <mergeCell ref="K5:W5"/>
    <mergeCell ref="M10:M14"/>
    <mergeCell ref="W7:W8"/>
    <mergeCell ref="W10:W20"/>
    <mergeCell ref="A14:F14"/>
    <mergeCell ref="A10:F10"/>
    <mergeCell ref="A12:F12"/>
    <mergeCell ref="S10:S14"/>
    <mergeCell ref="H12:H14"/>
    <mergeCell ref="U10:U20"/>
    <mergeCell ref="K10:K16"/>
    <mergeCell ref="O10:O14"/>
    <mergeCell ref="A24:H24"/>
    <mergeCell ref="A20:F20"/>
    <mergeCell ref="A16:F16"/>
    <mergeCell ref="A18:F18"/>
    <mergeCell ref="A2:U2"/>
    <mergeCell ref="K7:K8"/>
    <mergeCell ref="M7:M8"/>
    <mergeCell ref="O7:O8"/>
    <mergeCell ref="Q7:Q8"/>
    <mergeCell ref="S7:S8"/>
    <mergeCell ref="U7:U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OPPIC_ACER</cp:lastModifiedBy>
  <cp:lastPrinted>2013-04-08T15:27:42Z</cp:lastPrinted>
  <dcterms:created xsi:type="dcterms:W3CDTF">1996-10-21T11:03:58Z</dcterms:created>
  <dcterms:modified xsi:type="dcterms:W3CDTF">2013-05-03T08:46:14Z</dcterms:modified>
  <cp:category/>
  <cp:version/>
  <cp:contentType/>
  <cp:contentStatus/>
</cp:coreProperties>
</file>